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2. 29 ธ.ค. 65\"/>
    </mc:Choice>
  </mc:AlternateContent>
  <xr:revisionPtr revIDLastSave="0" documentId="13_ncr:1_{91DEA427-DE7D-4BB4-B6F6-608458988514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9">ภูเก็ต!$A$1:$P$828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255" i="15" l="1"/>
  <c r="I255" i="14"/>
  <c r="I255" i="13"/>
  <c r="I255" i="12"/>
  <c r="I255" i="11"/>
  <c r="I255" i="10"/>
  <c r="I255" i="9"/>
  <c r="I255" i="8"/>
  <c r="I255" i="7"/>
  <c r="I255" i="6"/>
  <c r="I255" i="5"/>
  <c r="I255" i="4"/>
  <c r="I255" i="3"/>
  <c r="I255" i="2"/>
  <c r="J828" i="15" l="1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P817" i="15"/>
  <c r="O817" i="15"/>
  <c r="P816" i="15"/>
  <c r="O816" i="15"/>
  <c r="O815" i="15"/>
  <c r="N815" i="15"/>
  <c r="M815" i="15"/>
  <c r="P815" i="15" s="1"/>
  <c r="L815" i="15"/>
  <c r="P810" i="15"/>
  <c r="O810" i="15"/>
  <c r="N810" i="15"/>
  <c r="P809" i="15"/>
  <c r="O809" i="15"/>
  <c r="O808" i="15"/>
  <c r="M808" i="15"/>
  <c r="P808" i="15" s="1"/>
  <c r="L808" i="15"/>
  <c r="P807" i="15"/>
  <c r="M807" i="15"/>
  <c r="L807" i="15"/>
  <c r="O806" i="15"/>
  <c r="N806" i="15"/>
  <c r="M806" i="15"/>
  <c r="P806" i="15" s="1"/>
  <c r="L806" i="15"/>
  <c r="P805" i="15"/>
  <c r="M805" i="15"/>
  <c r="K804" i="15"/>
  <c r="J804" i="15"/>
  <c r="K802" i="15"/>
  <c r="J801" i="15"/>
  <c r="J800" i="15"/>
  <c r="J785" i="15" s="1"/>
  <c r="I800" i="15"/>
  <c r="I785" i="15" s="1"/>
  <c r="K785" i="15" s="1"/>
  <c r="P798" i="15"/>
  <c r="O798" i="15"/>
  <c r="P797" i="15"/>
  <c r="O797" i="15"/>
  <c r="P796" i="15"/>
  <c r="N796" i="15"/>
  <c r="M796" i="15"/>
  <c r="L796" i="15"/>
  <c r="O796" i="15" s="1"/>
  <c r="P791" i="15"/>
  <c r="N791" i="15"/>
  <c r="L791" i="15"/>
  <c r="P790" i="15"/>
  <c r="O790" i="15"/>
  <c r="N789" i="15"/>
  <c r="M789" i="15"/>
  <c r="P789" i="15" s="1"/>
  <c r="P788" i="15"/>
  <c r="N788" i="15"/>
  <c r="M788" i="15"/>
  <c r="O787" i="15"/>
  <c r="N787" i="15"/>
  <c r="M787" i="15"/>
  <c r="P787" i="15" s="1"/>
  <c r="L787" i="15"/>
  <c r="P786" i="15"/>
  <c r="N786" i="15"/>
  <c r="M786" i="15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N772" i="15" s="1"/>
  <c r="N770" i="15" s="1"/>
  <c r="P774" i="15"/>
  <c r="O774" i="15"/>
  <c r="P773" i="15"/>
  <c r="N773" i="15"/>
  <c r="M773" i="15"/>
  <c r="L773" i="15"/>
  <c r="O773" i="15" s="1"/>
  <c r="O772" i="15"/>
  <c r="M772" i="15"/>
  <c r="L772" i="15"/>
  <c r="P771" i="15"/>
  <c r="N771" i="15"/>
  <c r="M771" i="15"/>
  <c r="L771" i="15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N756" i="15" s="1"/>
  <c r="N754" i="15" s="1"/>
  <c r="P758" i="15"/>
  <c r="O758" i="15"/>
  <c r="P757" i="15"/>
  <c r="N757" i="15"/>
  <c r="M757" i="15"/>
  <c r="L757" i="15"/>
  <c r="O757" i="15" s="1"/>
  <c r="O756" i="15"/>
  <c r="M756" i="15"/>
  <c r="L756" i="15"/>
  <c r="P755" i="15"/>
  <c r="N755" i="15"/>
  <c r="M755" i="15"/>
  <c r="L755" i="15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N739" i="15" s="1"/>
  <c r="N737" i="15" s="1"/>
  <c r="P741" i="15"/>
  <c r="O741" i="15"/>
  <c r="P740" i="15"/>
  <c r="N740" i="15"/>
  <c r="M740" i="15"/>
  <c r="L740" i="15"/>
  <c r="O740" i="15" s="1"/>
  <c r="O739" i="15"/>
  <c r="M739" i="15"/>
  <c r="L739" i="15"/>
  <c r="P738" i="15"/>
  <c r="N738" i="15"/>
  <c r="M738" i="15"/>
  <c r="L738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N688" i="15" s="1"/>
  <c r="L690" i="15"/>
  <c r="L688" i="15" s="1"/>
  <c r="O688" i="15" s="1"/>
  <c r="M688" i="15"/>
  <c r="P688" i="15" s="1"/>
  <c r="P687" i="15"/>
  <c r="N687" i="15"/>
  <c r="M687" i="15"/>
  <c r="O686" i="15"/>
  <c r="N686" i="15"/>
  <c r="M686" i="15"/>
  <c r="P686" i="15" s="1"/>
  <c r="L686" i="15"/>
  <c r="P685" i="15"/>
  <c r="N685" i="15"/>
  <c r="M685" i="15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2" i="15" s="1"/>
  <c r="P667" i="15"/>
  <c r="O667" i="15"/>
  <c r="P666" i="15"/>
  <c r="O666" i="15"/>
  <c r="O665" i="15"/>
  <c r="N665" i="15"/>
  <c r="M665" i="15"/>
  <c r="P665" i="15" s="1"/>
  <c r="L665" i="15"/>
  <c r="P660" i="15"/>
  <c r="N660" i="15"/>
  <c r="N657" i="15" s="1"/>
  <c r="L660" i="15"/>
  <c r="O660" i="15" s="1"/>
  <c r="P659" i="15"/>
  <c r="O659" i="15"/>
  <c r="P658" i="15"/>
  <c r="N658" i="15"/>
  <c r="M658" i="15"/>
  <c r="L658" i="15"/>
  <c r="O658" i="15" s="1"/>
  <c r="M657" i="15"/>
  <c r="P657" i="15" s="1"/>
  <c r="P656" i="15"/>
  <c r="N656" i="15"/>
  <c r="N655" i="15" s="1"/>
  <c r="M656" i="15"/>
  <c r="L656" i="15"/>
  <c r="M655" i="15"/>
  <c r="P655" i="15" s="1"/>
  <c r="K652" i="15"/>
  <c r="J652" i="15"/>
  <c r="J651" i="15"/>
  <c r="J628" i="15" s="1"/>
  <c r="I651" i="15"/>
  <c r="K651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P634" i="15"/>
  <c r="N634" i="15"/>
  <c r="N631" i="15" s="1"/>
  <c r="L634" i="15"/>
  <c r="O634" i="15" s="1"/>
  <c r="P633" i="15"/>
  <c r="O633" i="15"/>
  <c r="P632" i="15"/>
  <c r="N632" i="15"/>
  <c r="M632" i="15"/>
  <c r="M631" i="15"/>
  <c r="P631" i="15" s="1"/>
  <c r="P630" i="15"/>
  <c r="N630" i="15"/>
  <c r="N629" i="15" s="1"/>
  <c r="M630" i="15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2" i="15" s="1"/>
  <c r="J594" i="15"/>
  <c r="I594" i="15"/>
  <c r="I593" i="15"/>
  <c r="I592" i="15" s="1"/>
  <c r="J583" i="15"/>
  <c r="J577" i="15" s="1"/>
  <c r="J582" i="15"/>
  <c r="I577" i="15"/>
  <c r="J576" i="15"/>
  <c r="J559" i="15" s="1"/>
  <c r="J543" i="15" s="1"/>
  <c r="I576" i="15"/>
  <c r="K576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O557" i="15" s="1"/>
  <c r="P556" i="15"/>
  <c r="O556" i="15"/>
  <c r="P555" i="15"/>
  <c r="N555" i="15"/>
  <c r="N545" i="15" s="1"/>
  <c r="N544" i="15" s="1"/>
  <c r="M555" i="15"/>
  <c r="P549" i="15"/>
  <c r="N549" i="15"/>
  <c r="L549" i="15"/>
  <c r="L547" i="15" s="1"/>
  <c r="O547" i="15" s="1"/>
  <c r="P548" i="15"/>
  <c r="O548" i="15"/>
  <c r="N547" i="15"/>
  <c r="M547" i="15"/>
  <c r="P547" i="15" s="1"/>
  <c r="P546" i="15"/>
  <c r="N546" i="15"/>
  <c r="M546" i="15"/>
  <c r="O545" i="15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P535" i="15"/>
  <c r="L535" i="15"/>
  <c r="O535" i="15" s="1"/>
  <c r="P534" i="15"/>
  <c r="O534" i="15"/>
  <c r="P533" i="15"/>
  <c r="N533" i="15"/>
  <c r="M533" i="15"/>
  <c r="L533" i="15"/>
  <c r="O533" i="15" s="1"/>
  <c r="P528" i="15"/>
  <c r="N528" i="15"/>
  <c r="L528" i="15"/>
  <c r="P527" i="15"/>
  <c r="O527" i="15"/>
  <c r="N526" i="15"/>
  <c r="M526" i="15"/>
  <c r="P526" i="15" s="1"/>
  <c r="P525" i="15"/>
  <c r="N525" i="15"/>
  <c r="M525" i="15"/>
  <c r="O524" i="15"/>
  <c r="N524" i="15"/>
  <c r="N523" i="15" s="1"/>
  <c r="M524" i="15"/>
  <c r="P524" i="15" s="1"/>
  <c r="L524" i="15"/>
  <c r="P523" i="15"/>
  <c r="M523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N504" i="15" s="1"/>
  <c r="N502" i="15" s="1"/>
  <c r="P506" i="15"/>
  <c r="O506" i="15"/>
  <c r="O505" i="15"/>
  <c r="N505" i="15"/>
  <c r="M505" i="15"/>
  <c r="P505" i="15" s="1"/>
  <c r="L505" i="15"/>
  <c r="M504" i="15"/>
  <c r="P504" i="15" s="1"/>
  <c r="L504" i="15"/>
  <c r="O504" i="15" s="1"/>
  <c r="O503" i="15"/>
  <c r="N503" i="15"/>
  <c r="M503" i="15"/>
  <c r="L503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P477" i="15"/>
  <c r="N477" i="15"/>
  <c r="M477" i="15"/>
  <c r="N476" i="15"/>
  <c r="N473" i="15"/>
  <c r="N472" i="15" s="1"/>
  <c r="P472" i="15"/>
  <c r="L472" i="15"/>
  <c r="L470" i="15" s="1"/>
  <c r="P471" i="15"/>
  <c r="O471" i="15"/>
  <c r="P470" i="15"/>
  <c r="M470" i="15"/>
  <c r="P469" i="15"/>
  <c r="M469" i="15"/>
  <c r="O468" i="15"/>
  <c r="N468" i="15"/>
  <c r="M468" i="15"/>
  <c r="P468" i="15" s="1"/>
  <c r="L468" i="15"/>
  <c r="J466" i="15"/>
  <c r="I466" i="15"/>
  <c r="J465" i="15"/>
  <c r="I465" i="15"/>
  <c r="K465" i="15" s="1"/>
  <c r="I464" i="15"/>
  <c r="I463" i="15"/>
  <c r="I462" i="15"/>
  <c r="K462" i="15" s="1"/>
  <c r="I460" i="15"/>
  <c r="K460" i="15" s="1"/>
  <c r="K458" i="15"/>
  <c r="P456" i="15"/>
  <c r="L456" i="15"/>
  <c r="O456" i="15" s="1"/>
  <c r="P455" i="15"/>
  <c r="O455" i="15"/>
  <c r="N454" i="15"/>
  <c r="M454" i="15"/>
  <c r="P454" i="15" s="1"/>
  <c r="N453" i="15"/>
  <c r="N449" i="15" s="1"/>
  <c r="N447" i="15" s="1"/>
  <c r="P449" i="15"/>
  <c r="L449" i="15"/>
  <c r="P448" i="15"/>
  <c r="O448" i="15"/>
  <c r="M447" i="15"/>
  <c r="P447" i="15" s="1"/>
  <c r="P446" i="15"/>
  <c r="M446" i="15"/>
  <c r="P445" i="15"/>
  <c r="O445" i="15"/>
  <c r="N445" i="15"/>
  <c r="M445" i="15"/>
  <c r="M444" i="15" s="1"/>
  <c r="L445" i="15"/>
  <c r="P444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I433" i="15" s="1"/>
  <c r="I417" i="15" s="1"/>
  <c r="J434" i="15"/>
  <c r="J418" i="15" s="1"/>
  <c r="P431" i="15"/>
  <c r="L431" i="15"/>
  <c r="O431" i="15" s="1"/>
  <c r="P430" i="15"/>
  <c r="O430" i="15"/>
  <c r="P429" i="15"/>
  <c r="N429" i="15"/>
  <c r="M429" i="15"/>
  <c r="L429" i="15"/>
  <c r="O429" i="15" s="1"/>
  <c r="N425" i="15"/>
  <c r="P424" i="15"/>
  <c r="N424" i="15"/>
  <c r="N421" i="15" s="1"/>
  <c r="L424" i="15"/>
  <c r="P423" i="15"/>
  <c r="O423" i="15"/>
  <c r="N422" i="15"/>
  <c r="M422" i="15"/>
  <c r="P422" i="15" s="1"/>
  <c r="M421" i="15"/>
  <c r="P421" i="15" s="1"/>
  <c r="P420" i="15"/>
  <c r="N420" i="15"/>
  <c r="N419" i="15" s="1"/>
  <c r="M420" i="15"/>
  <c r="L420" i="15"/>
  <c r="M419" i="15"/>
  <c r="K413" i="15"/>
  <c r="K412" i="15"/>
  <c r="N410" i="15"/>
  <c r="N408" i="15" s="1"/>
  <c r="M410" i="15"/>
  <c r="M408" i="15" s="1"/>
  <c r="P408" i="15" s="1"/>
  <c r="L410" i="15"/>
  <c r="L408" i="15" s="1"/>
  <c r="O408" i="15" s="1"/>
  <c r="P409" i="15"/>
  <c r="O409" i="15"/>
  <c r="N407" i="15"/>
  <c r="M407" i="15"/>
  <c r="L407" i="15"/>
  <c r="O407" i="15" s="1"/>
  <c r="P406" i="15"/>
  <c r="O406" i="15"/>
  <c r="P403" i="15"/>
  <c r="O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P397" i="15" s="1"/>
  <c r="L397" i="15"/>
  <c r="O397" i="15" s="1"/>
  <c r="P396" i="15"/>
  <c r="O396" i="15"/>
  <c r="N394" i="15"/>
  <c r="N392" i="15" s="1"/>
  <c r="M394" i="15"/>
  <c r="M392" i="15" s="1"/>
  <c r="P392" i="15" s="1"/>
  <c r="L394" i="15"/>
  <c r="O394" i="15" s="1"/>
  <c r="P393" i="15"/>
  <c r="O393" i="15"/>
  <c r="P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L351" i="15" s="1"/>
  <c r="P352" i="15"/>
  <c r="O352" i="15"/>
  <c r="N350" i="15"/>
  <c r="N348" i="15" s="1"/>
  <c r="M350" i="15"/>
  <c r="L350" i="15"/>
  <c r="L348" i="15" s="1"/>
  <c r="P349" i="15"/>
  <c r="O349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O336" i="15" s="1"/>
  <c r="P335" i="15"/>
  <c r="O335" i="15"/>
  <c r="N333" i="15"/>
  <c r="M333" i="15"/>
  <c r="L333" i="15"/>
  <c r="L331" i="15" s="1"/>
  <c r="P332" i="15"/>
  <c r="O332" i="15"/>
  <c r="N329" i="15"/>
  <c r="M329" i="15"/>
  <c r="L329" i="15"/>
  <c r="O329" i="15" s="1"/>
  <c r="I327" i="15"/>
  <c r="I325" i="15"/>
  <c r="K325" i="15" s="1"/>
  <c r="N323" i="15"/>
  <c r="M323" i="15"/>
  <c r="M321" i="15" s="1"/>
  <c r="P321" i="15" s="1"/>
  <c r="L323" i="15"/>
  <c r="P322" i="15"/>
  <c r="O322" i="15"/>
  <c r="N320" i="15"/>
  <c r="N318" i="15" s="1"/>
  <c r="M320" i="15"/>
  <c r="L320" i="15"/>
  <c r="L318" i="15" s="1"/>
  <c r="P319" i="15"/>
  <c r="O319" i="15"/>
  <c r="O316" i="15"/>
  <c r="N316" i="15"/>
  <c r="M316" i="15"/>
  <c r="P316" i="15" s="1"/>
  <c r="L316" i="15"/>
  <c r="J314" i="15"/>
  <c r="I312" i="15"/>
  <c r="K312" i="15" s="1"/>
  <c r="I311" i="15"/>
  <c r="K311" i="15" s="1"/>
  <c r="I310" i="15"/>
  <c r="K310" i="15" s="1"/>
  <c r="I309" i="15"/>
  <c r="I297" i="15" s="1"/>
  <c r="N306" i="15"/>
  <c r="N304" i="15" s="1"/>
  <c r="M306" i="15"/>
  <c r="P306" i="15" s="1"/>
  <c r="L306" i="15"/>
  <c r="O306" i="15" s="1"/>
  <c r="P305" i="15"/>
  <c r="O305" i="15"/>
  <c r="N303" i="15"/>
  <c r="N301" i="15" s="1"/>
  <c r="M303" i="15"/>
  <c r="L303" i="15"/>
  <c r="L301" i="15" s="1"/>
  <c r="P302" i="15"/>
  <c r="O302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I275" i="15" s="1"/>
  <c r="I287" i="15"/>
  <c r="N285" i="15"/>
  <c r="N283" i="15" s="1"/>
  <c r="M285" i="15"/>
  <c r="L285" i="15"/>
  <c r="O285" i="15" s="1"/>
  <c r="P284" i="15"/>
  <c r="O284" i="15"/>
  <c r="N282" i="15"/>
  <c r="M282" i="15"/>
  <c r="L282" i="15"/>
  <c r="L280" i="15" s="1"/>
  <c r="P281" i="15"/>
  <c r="O281" i="15"/>
  <c r="N278" i="15"/>
  <c r="M278" i="15"/>
  <c r="P278" i="15" s="1"/>
  <c r="L278" i="15"/>
  <c r="O278" i="15" s="1"/>
  <c r="J276" i="15"/>
  <c r="I271" i="15"/>
  <c r="K271" i="15" s="1"/>
  <c r="N269" i="15"/>
  <c r="N267" i="15" s="1"/>
  <c r="M269" i="15"/>
  <c r="P269" i="15" s="1"/>
  <c r="L269" i="15"/>
  <c r="P268" i="15"/>
  <c r="O268" i="15"/>
  <c r="N266" i="15"/>
  <c r="N264" i="15" s="1"/>
  <c r="M266" i="15"/>
  <c r="M264" i="15" s="1"/>
  <c r="P264" i="15" s="1"/>
  <c r="L266" i="15"/>
  <c r="P265" i="15"/>
  <c r="O265" i="15"/>
  <c r="N262" i="15"/>
  <c r="M262" i="15"/>
  <c r="L262" i="15"/>
  <c r="O262" i="15" s="1"/>
  <c r="J260" i="15"/>
  <c r="K258" i="15"/>
  <c r="K257" i="15"/>
  <c r="K255" i="15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J237" i="15"/>
  <c r="K236" i="15"/>
  <c r="J236" i="15"/>
  <c r="I236" i="15"/>
  <c r="J235" i="15"/>
  <c r="I235" i="15"/>
  <c r="K235" i="15" s="1"/>
  <c r="J233" i="15"/>
  <c r="N231" i="15"/>
  <c r="N230" i="15"/>
  <c r="N229" i="15"/>
  <c r="N228" i="15"/>
  <c r="I225" i="15"/>
  <c r="K225" i="15" s="1"/>
  <c r="I224" i="15"/>
  <c r="I216" i="15" s="1"/>
  <c r="K216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P191" i="15"/>
  <c r="L191" i="15"/>
  <c r="O191" i="15" s="1"/>
  <c r="J190" i="15"/>
  <c r="N189" i="15"/>
  <c r="N187" i="15" s="1"/>
  <c r="M189" i="15"/>
  <c r="P189" i="15" s="1"/>
  <c r="L189" i="15"/>
  <c r="O189" i="15" s="1"/>
  <c r="P188" i="15"/>
  <c r="O188" i="15"/>
  <c r="N186" i="15"/>
  <c r="N184" i="15" s="1"/>
  <c r="M186" i="15"/>
  <c r="L186" i="15"/>
  <c r="P185" i="15"/>
  <c r="O185" i="15"/>
  <c r="O182" i="15"/>
  <c r="N182" i="15"/>
  <c r="M182" i="15"/>
  <c r="L182" i="15"/>
  <c r="J177" i="15"/>
  <c r="J164" i="15" s="1"/>
  <c r="I176" i="15"/>
  <c r="K176" i="15" s="1"/>
  <c r="J174" i="15"/>
  <c r="N173" i="15"/>
  <c r="N171" i="15" s="1"/>
  <c r="M173" i="15"/>
  <c r="P173" i="15" s="1"/>
  <c r="L173" i="15"/>
  <c r="O173" i="15" s="1"/>
  <c r="P172" i="15"/>
  <c r="O172" i="15"/>
  <c r="N170" i="15"/>
  <c r="N168" i="15" s="1"/>
  <c r="M170" i="15"/>
  <c r="L170" i="15"/>
  <c r="P169" i="15"/>
  <c r="O169" i="15"/>
  <c r="O166" i="15"/>
  <c r="N166" i="15"/>
  <c r="M166" i="15"/>
  <c r="L166" i="15"/>
  <c r="I159" i="15"/>
  <c r="I148" i="15" s="1"/>
  <c r="N157" i="15"/>
  <c r="N155" i="15" s="1"/>
  <c r="M157" i="15"/>
  <c r="P157" i="15" s="1"/>
  <c r="L157" i="15"/>
  <c r="P156" i="15"/>
  <c r="O156" i="15"/>
  <c r="N154" i="15"/>
  <c r="N152" i="15" s="1"/>
  <c r="M154" i="15"/>
  <c r="L154" i="15"/>
  <c r="P153" i="15"/>
  <c r="O153" i="15"/>
  <c r="N150" i="15"/>
  <c r="M150" i="15"/>
  <c r="L150" i="15"/>
  <c r="J148" i="15"/>
  <c r="I146" i="15"/>
  <c r="K146" i="15" s="1"/>
  <c r="I145" i="15"/>
  <c r="I143" i="15" s="1"/>
  <c r="I144" i="15"/>
  <c r="K144" i="15" s="1"/>
  <c r="N140" i="15"/>
  <c r="N138" i="15" s="1"/>
  <c r="M140" i="15"/>
  <c r="L140" i="15"/>
  <c r="P139" i="15"/>
  <c r="O139" i="15"/>
  <c r="N137" i="15"/>
  <c r="M137" i="15"/>
  <c r="M135" i="15" s="1"/>
  <c r="L137" i="15"/>
  <c r="L135" i="15" s="1"/>
  <c r="P136" i="15"/>
  <c r="O136" i="15"/>
  <c r="P133" i="15"/>
  <c r="O133" i="15"/>
  <c r="N133" i="15"/>
  <c r="M133" i="15"/>
  <c r="L133" i="15"/>
  <c r="J130" i="15"/>
  <c r="N127" i="15"/>
  <c r="M127" i="15"/>
  <c r="P127" i="15" s="1"/>
  <c r="L127" i="15"/>
  <c r="P126" i="15"/>
  <c r="O126" i="15"/>
  <c r="N124" i="15"/>
  <c r="N122" i="15" s="1"/>
  <c r="M124" i="15"/>
  <c r="P124" i="15" s="1"/>
  <c r="L124" i="15"/>
  <c r="P123" i="15"/>
  <c r="O123" i="15"/>
  <c r="N120" i="15"/>
  <c r="M120" i="15"/>
  <c r="L120" i="15"/>
  <c r="I116" i="15"/>
  <c r="K116" i="15" s="1"/>
  <c r="I115" i="15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J86" i="15" s="1"/>
  <c r="I98" i="15"/>
  <c r="N96" i="15"/>
  <c r="N94" i="15" s="1"/>
  <c r="M96" i="15"/>
  <c r="P96" i="15" s="1"/>
  <c r="L96" i="15"/>
  <c r="O96" i="15" s="1"/>
  <c r="P95" i="15"/>
  <c r="O95" i="15"/>
  <c r="N93" i="15"/>
  <c r="M93" i="15"/>
  <c r="M91" i="15" s="1"/>
  <c r="L93" i="15"/>
  <c r="P92" i="15"/>
  <c r="O92" i="15"/>
  <c r="P89" i="15"/>
  <c r="O89" i="15"/>
  <c r="N89" i="15"/>
  <c r="M89" i="15"/>
  <c r="L89" i="15"/>
  <c r="J87" i="15"/>
  <c r="I84" i="15"/>
  <c r="K84" i="15" s="1"/>
  <c r="I83" i="15"/>
  <c r="K83" i="15" s="1"/>
  <c r="I82" i="15"/>
  <c r="K82" i="15" s="1"/>
  <c r="I81" i="15"/>
  <c r="I80" i="15"/>
  <c r="K80" i="15" s="1"/>
  <c r="I79" i="15"/>
  <c r="K79" i="15" s="1"/>
  <c r="I78" i="15"/>
  <c r="K78" i="15" s="1"/>
  <c r="J77" i="15"/>
  <c r="J65" i="15" s="1"/>
  <c r="J76" i="15"/>
  <c r="N74" i="15"/>
  <c r="N72" i="15" s="1"/>
  <c r="M74" i="15"/>
  <c r="M72" i="15" s="1"/>
  <c r="P72" i="15" s="1"/>
  <c r="L74" i="15"/>
  <c r="O74" i="15" s="1"/>
  <c r="P73" i="15"/>
  <c r="O73" i="15"/>
  <c r="N71" i="15"/>
  <c r="M71" i="15"/>
  <c r="M69" i="15" s="1"/>
  <c r="L71" i="15"/>
  <c r="L69" i="15" s="1"/>
  <c r="P70" i="15"/>
  <c r="O70" i="15"/>
  <c r="P67" i="15"/>
  <c r="O67" i="15"/>
  <c r="N67" i="15"/>
  <c r="M67" i="15"/>
  <c r="L67" i="15"/>
  <c r="J64" i="15"/>
  <c r="N61" i="15"/>
  <c r="N59" i="15" s="1"/>
  <c r="M61" i="15"/>
  <c r="L61" i="15"/>
  <c r="P60" i="15"/>
  <c r="O60" i="15"/>
  <c r="N58" i="15"/>
  <c r="N56" i="15" s="1"/>
  <c r="M58" i="15"/>
  <c r="L58" i="15"/>
  <c r="L56" i="15" s="1"/>
  <c r="P57" i="15"/>
  <c r="O57" i="15"/>
  <c r="N54" i="15"/>
  <c r="M54" i="15"/>
  <c r="P54" i="15" s="1"/>
  <c r="L54" i="15"/>
  <c r="N49" i="15"/>
  <c r="M49" i="15"/>
  <c r="M47" i="15" s="1"/>
  <c r="P47" i="15" s="1"/>
  <c r="L49" i="15"/>
  <c r="O49" i="15" s="1"/>
  <c r="P48" i="15"/>
  <c r="O48" i="15"/>
  <c r="N46" i="15"/>
  <c r="M46" i="15"/>
  <c r="M44" i="15" s="1"/>
  <c r="L46" i="15"/>
  <c r="L44" i="15" s="1"/>
  <c r="P45" i="15"/>
  <c r="O45" i="15"/>
  <c r="P42" i="15"/>
  <c r="O42" i="15"/>
  <c r="N42" i="15"/>
  <c r="M42" i="15"/>
  <c r="L42" i="15"/>
  <c r="N36" i="15"/>
  <c r="M36" i="15"/>
  <c r="P36" i="15" s="1"/>
  <c r="P35" i="15"/>
  <c r="N35" i="15"/>
  <c r="M35" i="15"/>
  <c r="L35" i="15"/>
  <c r="O35" i="15" s="1"/>
  <c r="N34" i="15"/>
  <c r="P33" i="15"/>
  <c r="N33" i="15"/>
  <c r="N30" i="15" s="1"/>
  <c r="M33" i="15"/>
  <c r="O32" i="15"/>
  <c r="N32" i="15"/>
  <c r="M32" i="15"/>
  <c r="P32" i="15" s="1"/>
  <c r="L32" i="15"/>
  <c r="M31" i="15"/>
  <c r="P31" i="15" s="1"/>
  <c r="M30" i="15"/>
  <c r="P30" i="15" s="1"/>
  <c r="L29" i="15"/>
  <c r="O29" i="15" s="1"/>
  <c r="N25" i="15"/>
  <c r="M25" i="15"/>
  <c r="P25" i="15" s="1"/>
  <c r="L25" i="15"/>
  <c r="O25" i="15" s="1"/>
  <c r="N22" i="15"/>
  <c r="N12" i="15" s="1"/>
  <c r="M22" i="15"/>
  <c r="P22" i="15" s="1"/>
  <c r="L22" i="15"/>
  <c r="O22" i="15" s="1"/>
  <c r="L15" i="15"/>
  <c r="O15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M808" i="14"/>
  <c r="P808" i="14" s="1"/>
  <c r="L808" i="14"/>
  <c r="M807" i="14"/>
  <c r="P807" i="14" s="1"/>
  <c r="L807" i="14"/>
  <c r="N806" i="14"/>
  <c r="M806" i="14"/>
  <c r="P806" i="14" s="1"/>
  <c r="L806" i="14"/>
  <c r="O806" i="14" s="1"/>
  <c r="P805" i="14"/>
  <c r="M805" i="14"/>
  <c r="K804" i="14"/>
  <c r="J804" i="14"/>
  <c r="K802" i="14"/>
  <c r="J801" i="14"/>
  <c r="J800" i="14"/>
  <c r="J785" i="14" s="1"/>
  <c r="I800" i="14"/>
  <c r="K800" i="14" s="1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L788" i="14" s="1"/>
  <c r="P790" i="14"/>
  <c r="O790" i="14"/>
  <c r="N789" i="14"/>
  <c r="M789" i="14"/>
  <c r="P789" i="14" s="1"/>
  <c r="N788" i="14"/>
  <c r="M788" i="14"/>
  <c r="P788" i="14" s="1"/>
  <c r="N787" i="14"/>
  <c r="N786" i="14" s="1"/>
  <c r="M787" i="14"/>
  <c r="P787" i="14" s="1"/>
  <c r="L787" i="14"/>
  <c r="O787" i="14" s="1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N772" i="14" s="1"/>
  <c r="P774" i="14"/>
  <c r="O774" i="14"/>
  <c r="P773" i="14"/>
  <c r="O773" i="14"/>
  <c r="N773" i="14"/>
  <c r="M773" i="14"/>
  <c r="L773" i="14"/>
  <c r="O772" i="14"/>
  <c r="M772" i="14"/>
  <c r="L772" i="14"/>
  <c r="N771" i="14"/>
  <c r="N770" i="14" s="1"/>
  <c r="M771" i="14"/>
  <c r="P771" i="14" s="1"/>
  <c r="L771" i="14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N756" i="14" s="1"/>
  <c r="P758" i="14"/>
  <c r="O758" i="14"/>
  <c r="P757" i="14"/>
  <c r="O757" i="14"/>
  <c r="N757" i="14"/>
  <c r="M757" i="14"/>
  <c r="L757" i="14"/>
  <c r="O756" i="14"/>
  <c r="M756" i="14"/>
  <c r="L756" i="14"/>
  <c r="N755" i="14"/>
  <c r="N754" i="14" s="1"/>
  <c r="M755" i="14"/>
  <c r="P755" i="14" s="1"/>
  <c r="L755" i="14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N739" i="14" s="1"/>
  <c r="P741" i="14"/>
  <c r="O741" i="14"/>
  <c r="P740" i="14"/>
  <c r="O740" i="14"/>
  <c r="N740" i="14"/>
  <c r="M740" i="14"/>
  <c r="L740" i="14"/>
  <c r="O739" i="14"/>
  <c r="M739" i="14"/>
  <c r="L739" i="14"/>
  <c r="N738" i="14"/>
  <c r="N737" i="14" s="1"/>
  <c r="M738" i="14"/>
  <c r="P738" i="14" s="1"/>
  <c r="L738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N688" i="14" s="1"/>
  <c r="L690" i="14"/>
  <c r="L687" i="14" s="1"/>
  <c r="M688" i="14"/>
  <c r="P688" i="14" s="1"/>
  <c r="N687" i="14"/>
  <c r="M687" i="14"/>
  <c r="P687" i="14" s="1"/>
  <c r="N686" i="14"/>
  <c r="N685" i="14" s="1"/>
  <c r="M686" i="14"/>
  <c r="P686" i="14" s="1"/>
  <c r="L686" i="14"/>
  <c r="O686" i="14" s="1"/>
  <c r="J679" i="14"/>
  <c r="J678" i="14"/>
  <c r="I678" i="14"/>
  <c r="K678" i="14" s="1"/>
  <c r="J675" i="14"/>
  <c r="J669" i="14" s="1"/>
  <c r="J654" i="14" s="1"/>
  <c r="I671" i="14"/>
  <c r="K671" i="14" s="1"/>
  <c r="I670" i="14"/>
  <c r="K670" i="14" s="1"/>
  <c r="I669" i="14"/>
  <c r="K674" i="14" s="1"/>
  <c r="P667" i="14"/>
  <c r="O667" i="14"/>
  <c r="P666" i="14"/>
  <c r="O666" i="14"/>
  <c r="N665" i="14"/>
  <c r="M665" i="14"/>
  <c r="P665" i="14" s="1"/>
  <c r="L665" i="14"/>
  <c r="O665" i="14" s="1"/>
  <c r="P660" i="14"/>
  <c r="N660" i="14"/>
  <c r="L660" i="14"/>
  <c r="L658" i="14" s="1"/>
  <c r="O658" i="14" s="1"/>
  <c r="P659" i="14"/>
  <c r="O659" i="14"/>
  <c r="P658" i="14"/>
  <c r="N658" i="14"/>
  <c r="M658" i="14"/>
  <c r="N657" i="14"/>
  <c r="M657" i="14"/>
  <c r="P657" i="14" s="1"/>
  <c r="P656" i="14"/>
  <c r="N656" i="14"/>
  <c r="N655" i="14" s="1"/>
  <c r="M656" i="14"/>
  <c r="L656" i="14"/>
  <c r="O656" i="14" s="1"/>
  <c r="M655" i="14"/>
  <c r="P655" i="14" s="1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N639" i="14"/>
  <c r="M639" i="14"/>
  <c r="P639" i="14" s="1"/>
  <c r="P634" i="14"/>
  <c r="N634" i="14"/>
  <c r="L634" i="14"/>
  <c r="P633" i="14"/>
  <c r="O633" i="14"/>
  <c r="N632" i="14"/>
  <c r="M632" i="14"/>
  <c r="P632" i="14" s="1"/>
  <c r="N631" i="14"/>
  <c r="N629" i="14" s="1"/>
  <c r="M631" i="14"/>
  <c r="P631" i="14" s="1"/>
  <c r="P630" i="14"/>
  <c r="N630" i="14"/>
  <c r="M630" i="14"/>
  <c r="M629" i="14" s="1"/>
  <c r="P629" i="14" s="1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4" i="14"/>
  <c r="I594" i="14"/>
  <c r="K594" i="14" s="1"/>
  <c r="J593" i="14"/>
  <c r="I593" i="14"/>
  <c r="I592" i="14" s="1"/>
  <c r="K592" i="14" s="1"/>
  <c r="J592" i="14"/>
  <c r="J583" i="14"/>
  <c r="J582" i="14"/>
  <c r="J576" i="14" s="1"/>
  <c r="J559" i="14" s="1"/>
  <c r="J543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P555" i="14"/>
  <c r="N555" i="14"/>
  <c r="M555" i="14"/>
  <c r="M545" i="14" s="1"/>
  <c r="P545" i="14" s="1"/>
  <c r="N553" i="14"/>
  <c r="P549" i="14"/>
  <c r="N549" i="14"/>
  <c r="L549" i="14"/>
  <c r="O549" i="14" s="1"/>
  <c r="P548" i="14"/>
  <c r="O548" i="14"/>
  <c r="P547" i="14"/>
  <c r="N547" i="14"/>
  <c r="M547" i="14"/>
  <c r="N546" i="14"/>
  <c r="M546" i="14"/>
  <c r="P546" i="14" s="1"/>
  <c r="N545" i="14"/>
  <c r="N544" i="14" s="1"/>
  <c r="L545" i="14"/>
  <c r="O545" i="14" s="1"/>
  <c r="M544" i="14"/>
  <c r="P544" i="14" s="1"/>
  <c r="I542" i="14"/>
  <c r="K542" i="14" s="1"/>
  <c r="I541" i="14"/>
  <c r="K541" i="14" s="1"/>
  <c r="I540" i="14"/>
  <c r="K540" i="14" s="1"/>
  <c r="I539" i="14"/>
  <c r="I538" i="14"/>
  <c r="K538" i="14" s="1"/>
  <c r="I537" i="14"/>
  <c r="K537" i="14" s="1"/>
  <c r="P535" i="14"/>
  <c r="L535" i="14"/>
  <c r="O535" i="14" s="1"/>
  <c r="P534" i="14"/>
  <c r="O534" i="14"/>
  <c r="N533" i="14"/>
  <c r="M533" i="14"/>
  <c r="P533" i="14" s="1"/>
  <c r="P528" i="14"/>
  <c r="N528" i="14"/>
  <c r="N525" i="14" s="1"/>
  <c r="L528" i="14"/>
  <c r="P527" i="14"/>
  <c r="O527" i="14"/>
  <c r="P526" i="14"/>
  <c r="N526" i="14"/>
  <c r="M526" i="14"/>
  <c r="M525" i="14"/>
  <c r="P524" i="14"/>
  <c r="N524" i="14"/>
  <c r="N523" i="14" s="1"/>
  <c r="M524" i="14"/>
  <c r="L524" i="14"/>
  <c r="K517" i="14"/>
  <c r="J517" i="14"/>
  <c r="J501" i="14" s="1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P506" i="14"/>
  <c r="O506" i="14"/>
  <c r="P505" i="14"/>
  <c r="N505" i="14"/>
  <c r="M505" i="14"/>
  <c r="L505" i="14"/>
  <c r="O505" i="14" s="1"/>
  <c r="O504" i="14"/>
  <c r="N504" i="14"/>
  <c r="N502" i="14" s="1"/>
  <c r="M504" i="14"/>
  <c r="P504" i="14" s="1"/>
  <c r="L504" i="14"/>
  <c r="P503" i="14"/>
  <c r="N503" i="14"/>
  <c r="M503" i="14"/>
  <c r="M502" i="14" s="1"/>
  <c r="P502" i="14" s="1"/>
  <c r="L503" i="14"/>
  <c r="O503" i="14" s="1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N477" i="14"/>
  <c r="M477" i="14"/>
  <c r="P477" i="14" s="1"/>
  <c r="N476" i="14"/>
  <c r="N473" i="14"/>
  <c r="P472" i="14"/>
  <c r="N472" i="14"/>
  <c r="L472" i="14"/>
  <c r="L470" i="14" s="1"/>
  <c r="P471" i="14"/>
  <c r="O471" i="14"/>
  <c r="P470" i="14"/>
  <c r="M470" i="14"/>
  <c r="M469" i="14"/>
  <c r="P469" i="14" s="1"/>
  <c r="P468" i="14"/>
  <c r="N468" i="14"/>
  <c r="M468" i="14"/>
  <c r="L468" i="14"/>
  <c r="O468" i="14" s="1"/>
  <c r="M467" i="14"/>
  <c r="P467" i="14" s="1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I442" i="14" s="1"/>
  <c r="K442" i="14" s="1"/>
  <c r="K458" i="14"/>
  <c r="P456" i="14"/>
  <c r="L456" i="14"/>
  <c r="L454" i="14" s="1"/>
  <c r="O454" i="14" s="1"/>
  <c r="P455" i="14"/>
  <c r="O455" i="14"/>
  <c r="P454" i="14"/>
  <c r="N454" i="14"/>
  <c r="M454" i="14"/>
  <c r="P449" i="14"/>
  <c r="N449" i="14"/>
  <c r="L449" i="14"/>
  <c r="L447" i="14" s="1"/>
  <c r="O447" i="14" s="1"/>
  <c r="P448" i="14"/>
  <c r="O448" i="14"/>
  <c r="N447" i="14"/>
  <c r="M447" i="14"/>
  <c r="P447" i="14" s="1"/>
  <c r="P446" i="14"/>
  <c r="N446" i="14"/>
  <c r="N444" i="14" s="1"/>
  <c r="M446" i="14"/>
  <c r="P445" i="14"/>
  <c r="O445" i="14"/>
  <c r="N445" i="14"/>
  <c r="M445" i="14"/>
  <c r="M444" i="14" s="1"/>
  <c r="P444" i="14" s="1"/>
  <c r="L445" i="14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J434" i="14"/>
  <c r="P431" i="14"/>
  <c r="L431" i="14"/>
  <c r="L429" i="14" s="1"/>
  <c r="O429" i="14" s="1"/>
  <c r="P430" i="14"/>
  <c r="O430" i="14"/>
  <c r="P429" i="14"/>
  <c r="N429" i="14"/>
  <c r="M429" i="14"/>
  <c r="P424" i="14"/>
  <c r="N424" i="14"/>
  <c r="L424" i="14"/>
  <c r="O424" i="14" s="1"/>
  <c r="P423" i="14"/>
  <c r="O423" i="14"/>
  <c r="N422" i="14"/>
  <c r="M422" i="14"/>
  <c r="P422" i="14" s="1"/>
  <c r="P421" i="14"/>
  <c r="N421" i="14"/>
  <c r="N419" i="14" s="1"/>
  <c r="M421" i="14"/>
  <c r="P420" i="14"/>
  <c r="O420" i="14"/>
  <c r="N420" i="14"/>
  <c r="M420" i="14"/>
  <c r="M419" i="14" s="1"/>
  <c r="P419" i="14" s="1"/>
  <c r="L420" i="14"/>
  <c r="J418" i="14"/>
  <c r="K413" i="14"/>
  <c r="K412" i="14"/>
  <c r="N410" i="14"/>
  <c r="N408" i="14" s="1"/>
  <c r="M410" i="14"/>
  <c r="L410" i="14"/>
  <c r="L408" i="14" s="1"/>
  <c r="O408" i="14" s="1"/>
  <c r="P409" i="14"/>
  <c r="O409" i="14"/>
  <c r="N407" i="14"/>
  <c r="N405" i="14" s="1"/>
  <c r="M407" i="14"/>
  <c r="P407" i="14" s="1"/>
  <c r="L407" i="14"/>
  <c r="L405" i="14" s="1"/>
  <c r="O405" i="14" s="1"/>
  <c r="P406" i="14"/>
  <c r="O406" i="14"/>
  <c r="N403" i="14"/>
  <c r="M403" i="14"/>
  <c r="L403" i="14"/>
  <c r="O403" i="14" s="1"/>
  <c r="J401" i="14"/>
  <c r="I401" i="14"/>
  <c r="K401" i="14" s="1"/>
  <c r="K400" i="14"/>
  <c r="K399" i="14"/>
  <c r="N397" i="14"/>
  <c r="N395" i="14" s="1"/>
  <c r="M397" i="14"/>
  <c r="M395" i="14" s="1"/>
  <c r="P395" i="14" s="1"/>
  <c r="L397" i="14"/>
  <c r="O397" i="14" s="1"/>
  <c r="P396" i="14"/>
  <c r="O396" i="14"/>
  <c r="N394" i="14"/>
  <c r="M394" i="14"/>
  <c r="M392" i="14" s="1"/>
  <c r="P392" i="14" s="1"/>
  <c r="L394" i="14"/>
  <c r="O394" i="14" s="1"/>
  <c r="P393" i="14"/>
  <c r="O393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P352" i="14"/>
  <c r="O352" i="14"/>
  <c r="N350" i="14"/>
  <c r="M350" i="14"/>
  <c r="M348" i="14" s="1"/>
  <c r="L350" i="14"/>
  <c r="L348" i="14" s="1"/>
  <c r="P349" i="14"/>
  <c r="O349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O336" i="14" s="1"/>
  <c r="P335" i="14"/>
  <c r="O335" i="14"/>
  <c r="N333" i="14"/>
  <c r="M333" i="14"/>
  <c r="M331" i="14" s="1"/>
  <c r="L333" i="14"/>
  <c r="P332" i="14"/>
  <c r="O332" i="14"/>
  <c r="O329" i="14"/>
  <c r="N329" i="14"/>
  <c r="M329" i="14"/>
  <c r="L329" i="14"/>
  <c r="I327" i="14"/>
  <c r="I325" i="14"/>
  <c r="K325" i="14" s="1"/>
  <c r="N323" i="14"/>
  <c r="M323" i="14"/>
  <c r="P323" i="14" s="1"/>
  <c r="L323" i="14"/>
  <c r="L321" i="14" s="1"/>
  <c r="O321" i="14" s="1"/>
  <c r="P322" i="14"/>
  <c r="O322" i="14"/>
  <c r="N320" i="14"/>
  <c r="N318" i="14" s="1"/>
  <c r="M320" i="14"/>
  <c r="M318" i="14" s="1"/>
  <c r="P318" i="14" s="1"/>
  <c r="L320" i="14"/>
  <c r="L318" i="14" s="1"/>
  <c r="O318" i="14" s="1"/>
  <c r="P319" i="14"/>
  <c r="O319" i="14"/>
  <c r="O316" i="14"/>
  <c r="N316" i="14"/>
  <c r="M316" i="14"/>
  <c r="P316" i="14" s="1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O306" i="14" s="1"/>
  <c r="P305" i="14"/>
  <c r="O305" i="14"/>
  <c r="N303" i="14"/>
  <c r="N301" i="14" s="1"/>
  <c r="M303" i="14"/>
  <c r="P303" i="14" s="1"/>
  <c r="L303" i="14"/>
  <c r="P302" i="14"/>
  <c r="O302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K287" i="14" s="1"/>
  <c r="N285" i="14"/>
  <c r="N283" i="14" s="1"/>
  <c r="M285" i="14"/>
  <c r="P285" i="14" s="1"/>
  <c r="L285" i="14"/>
  <c r="O285" i="14" s="1"/>
  <c r="P284" i="14"/>
  <c r="O284" i="14"/>
  <c r="N282" i="14"/>
  <c r="N280" i="14" s="1"/>
  <c r="M282" i="14"/>
  <c r="P282" i="14" s="1"/>
  <c r="L282" i="14"/>
  <c r="O282" i="14" s="1"/>
  <c r="P281" i="14"/>
  <c r="O281" i="14"/>
  <c r="P278" i="14"/>
  <c r="N278" i="14"/>
  <c r="M278" i="14"/>
  <c r="L278" i="14"/>
  <c r="O278" i="14" s="1"/>
  <c r="J276" i="14"/>
  <c r="I271" i="14"/>
  <c r="K271" i="14" s="1"/>
  <c r="N269" i="14"/>
  <c r="N267" i="14" s="1"/>
  <c r="M269" i="14"/>
  <c r="P269" i="14" s="1"/>
  <c r="L269" i="14"/>
  <c r="O269" i="14" s="1"/>
  <c r="P268" i="14"/>
  <c r="O268" i="14"/>
  <c r="N266" i="14"/>
  <c r="N264" i="14" s="1"/>
  <c r="M266" i="14"/>
  <c r="P266" i="14" s="1"/>
  <c r="L266" i="14"/>
  <c r="P265" i="14"/>
  <c r="O265" i="14"/>
  <c r="O262" i="14"/>
  <c r="N262" i="14"/>
  <c r="M262" i="14"/>
  <c r="L262" i="14"/>
  <c r="J260" i="14"/>
  <c r="K258" i="14"/>
  <c r="K257" i="14"/>
  <c r="K255" i="14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I197" i="14" s="1"/>
  <c r="K197" i="14" s="1"/>
  <c r="L202" i="14"/>
  <c r="L201" i="14"/>
  <c r="L200" i="14"/>
  <c r="L199" i="14"/>
  <c r="P198" i="14"/>
  <c r="N198" i="14"/>
  <c r="J197" i="14"/>
  <c r="J194" i="14"/>
  <c r="I193" i="14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N184" i="14" s="1"/>
  <c r="M186" i="14"/>
  <c r="L186" i="14"/>
  <c r="P185" i="14"/>
  <c r="O185" i="14"/>
  <c r="O182" i="14"/>
  <c r="N182" i="14"/>
  <c r="M182" i="14"/>
  <c r="L182" i="14"/>
  <c r="J177" i="14"/>
  <c r="J164" i="14" s="1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N168" i="14" s="1"/>
  <c r="M170" i="14"/>
  <c r="L170" i="14"/>
  <c r="P169" i="14"/>
  <c r="O169" i="14"/>
  <c r="P166" i="14"/>
  <c r="O166" i="14"/>
  <c r="N166" i="14"/>
  <c r="M166" i="14"/>
  <c r="L166" i="14"/>
  <c r="I159" i="14"/>
  <c r="I148" i="14" s="1"/>
  <c r="K148" i="14" s="1"/>
  <c r="N157" i="14"/>
  <c r="N155" i="14" s="1"/>
  <c r="M157" i="14"/>
  <c r="P157" i="14" s="1"/>
  <c r="L157" i="14"/>
  <c r="P156" i="14"/>
  <c r="O156" i="14"/>
  <c r="N154" i="14"/>
  <c r="M154" i="14"/>
  <c r="P154" i="14" s="1"/>
  <c r="L154" i="14"/>
  <c r="P153" i="14"/>
  <c r="O153" i="14"/>
  <c r="N150" i="14"/>
  <c r="M150" i="14"/>
  <c r="L150" i="14"/>
  <c r="O150" i="14" s="1"/>
  <c r="J148" i="14"/>
  <c r="I146" i="14"/>
  <c r="I130" i="14" s="1"/>
  <c r="K130" i="14" s="1"/>
  <c r="I145" i="14"/>
  <c r="I144" i="14"/>
  <c r="K144" i="14" s="1"/>
  <c r="N140" i="14"/>
  <c r="N138" i="14" s="1"/>
  <c r="M140" i="14"/>
  <c r="M138" i="14" s="1"/>
  <c r="P138" i="14" s="1"/>
  <c r="L140" i="14"/>
  <c r="L138" i="14" s="1"/>
  <c r="O138" i="14" s="1"/>
  <c r="P139" i="14"/>
  <c r="O139" i="14"/>
  <c r="N137" i="14"/>
  <c r="N135" i="14" s="1"/>
  <c r="M137" i="14"/>
  <c r="M135" i="14" s="1"/>
  <c r="P135" i="14" s="1"/>
  <c r="L137" i="14"/>
  <c r="L135" i="14" s="1"/>
  <c r="O135" i="14" s="1"/>
  <c r="P136" i="14"/>
  <c r="O136" i="14"/>
  <c r="P133" i="14"/>
  <c r="O133" i="14"/>
  <c r="N133" i="14"/>
  <c r="M133" i="14"/>
  <c r="L133" i="14"/>
  <c r="J130" i="14"/>
  <c r="N127" i="14"/>
  <c r="M127" i="14"/>
  <c r="P127" i="14" s="1"/>
  <c r="L127" i="14"/>
  <c r="P126" i="14"/>
  <c r="O126" i="14"/>
  <c r="N124" i="14"/>
  <c r="M124" i="14"/>
  <c r="P124" i="14" s="1"/>
  <c r="L124" i="14"/>
  <c r="P123" i="14"/>
  <c r="O123" i="14"/>
  <c r="N120" i="14"/>
  <c r="M120" i="14"/>
  <c r="L120" i="14"/>
  <c r="O120" i="14" s="1"/>
  <c r="I116" i="14"/>
  <c r="K116" i="14" s="1"/>
  <c r="I115" i="14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J86" i="14" s="1"/>
  <c r="I98" i="14"/>
  <c r="K98" i="14" s="1"/>
  <c r="N96" i="14"/>
  <c r="N94" i="14" s="1"/>
  <c r="M96" i="14"/>
  <c r="P96" i="14" s="1"/>
  <c r="L96" i="14"/>
  <c r="O96" i="14" s="1"/>
  <c r="P95" i="14"/>
  <c r="O95" i="14"/>
  <c r="N93" i="14"/>
  <c r="N91" i="14" s="1"/>
  <c r="M93" i="14"/>
  <c r="L93" i="14"/>
  <c r="P92" i="14"/>
  <c r="O92" i="14"/>
  <c r="O89" i="14"/>
  <c r="N89" i="14"/>
  <c r="M89" i="14"/>
  <c r="L89" i="14"/>
  <c r="J87" i="14"/>
  <c r="I84" i="14"/>
  <c r="K84" i="14" s="1"/>
  <c r="I83" i="14"/>
  <c r="K83" i="14" s="1"/>
  <c r="I82" i="14"/>
  <c r="I81" i="14"/>
  <c r="K81" i="14" s="1"/>
  <c r="I80" i="14"/>
  <c r="K80" i="14" s="1"/>
  <c r="I79" i="14"/>
  <c r="I78" i="14"/>
  <c r="K78" i="14" s="1"/>
  <c r="J77" i="14"/>
  <c r="J65" i="14" s="1"/>
  <c r="J76" i="14"/>
  <c r="N74" i="14"/>
  <c r="N72" i="14" s="1"/>
  <c r="M74" i="14"/>
  <c r="M72" i="14" s="1"/>
  <c r="P72" i="14" s="1"/>
  <c r="L74" i="14"/>
  <c r="L72" i="14" s="1"/>
  <c r="O72" i="14" s="1"/>
  <c r="P73" i="14"/>
  <c r="O73" i="14"/>
  <c r="N71" i="14"/>
  <c r="M71" i="14"/>
  <c r="L71" i="14"/>
  <c r="O71" i="14" s="1"/>
  <c r="P70" i="14"/>
  <c r="O70" i="14"/>
  <c r="P67" i="14"/>
  <c r="N67" i="14"/>
  <c r="M67" i="14"/>
  <c r="L67" i="14"/>
  <c r="J64" i="14"/>
  <c r="N61" i="14"/>
  <c r="N59" i="14" s="1"/>
  <c r="M61" i="14"/>
  <c r="P61" i="14" s="1"/>
  <c r="L61" i="14"/>
  <c r="P60" i="14"/>
  <c r="O60" i="14"/>
  <c r="N58" i="14"/>
  <c r="N56" i="14" s="1"/>
  <c r="M58" i="14"/>
  <c r="L58" i="14"/>
  <c r="P57" i="14"/>
  <c r="O57" i="14"/>
  <c r="O54" i="14"/>
  <c r="N54" i="14"/>
  <c r="M54" i="14"/>
  <c r="L54" i="14"/>
  <c r="N49" i="14"/>
  <c r="M49" i="14"/>
  <c r="P49" i="14" s="1"/>
  <c r="L49" i="14"/>
  <c r="O49" i="14" s="1"/>
  <c r="P48" i="14"/>
  <c r="O48" i="14"/>
  <c r="N46" i="14"/>
  <c r="M46" i="14"/>
  <c r="L46" i="14"/>
  <c r="L44" i="14" s="1"/>
  <c r="P45" i="14"/>
  <c r="O45" i="14"/>
  <c r="P42" i="14"/>
  <c r="N42" i="14"/>
  <c r="M42" i="14"/>
  <c r="L42" i="14"/>
  <c r="N36" i="14"/>
  <c r="M36" i="14"/>
  <c r="P36" i="14" s="1"/>
  <c r="P35" i="14"/>
  <c r="N35" i="14"/>
  <c r="M35" i="14"/>
  <c r="L35" i="14"/>
  <c r="O35" i="14" s="1"/>
  <c r="M34" i="14"/>
  <c r="P34" i="14" s="1"/>
  <c r="P33" i="14"/>
  <c r="N33" i="14"/>
  <c r="M33" i="14"/>
  <c r="O32" i="14"/>
  <c r="N32" i="14"/>
  <c r="N31" i="14" s="1"/>
  <c r="M32" i="14"/>
  <c r="P32" i="14" s="1"/>
  <c r="L32" i="14"/>
  <c r="N30" i="14"/>
  <c r="N29" i="14"/>
  <c r="L29" i="14"/>
  <c r="O25" i="14"/>
  <c r="N25" i="14"/>
  <c r="M25" i="14"/>
  <c r="L25" i="14"/>
  <c r="N22" i="14"/>
  <c r="M22" i="14"/>
  <c r="L22" i="14"/>
  <c r="N15" i="14"/>
  <c r="L15" i="14"/>
  <c r="O15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M808" i="13"/>
  <c r="P808" i="13" s="1"/>
  <c r="L808" i="13"/>
  <c r="O808" i="13" s="1"/>
  <c r="M807" i="13"/>
  <c r="P807" i="13" s="1"/>
  <c r="L807" i="13"/>
  <c r="O807" i="13" s="1"/>
  <c r="P806" i="13"/>
  <c r="N806" i="13"/>
  <c r="M806" i="13"/>
  <c r="L806" i="13"/>
  <c r="O806" i="13" s="1"/>
  <c r="K804" i="13"/>
  <c r="J804" i="13"/>
  <c r="K802" i="13"/>
  <c r="J801" i="13"/>
  <c r="J800" i="13"/>
  <c r="J785" i="13" s="1"/>
  <c r="I800" i="13"/>
  <c r="I785" i="13" s="1"/>
  <c r="K785" i="13" s="1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L791" i="13"/>
  <c r="P790" i="13"/>
  <c r="O790" i="13"/>
  <c r="N789" i="13"/>
  <c r="M789" i="13"/>
  <c r="P789" i="13" s="1"/>
  <c r="M788" i="13"/>
  <c r="P788" i="13" s="1"/>
  <c r="L788" i="13"/>
  <c r="O788" i="13" s="1"/>
  <c r="P787" i="13"/>
  <c r="N787" i="13"/>
  <c r="N786" i="13" s="1"/>
  <c r="M787" i="13"/>
  <c r="L787" i="13"/>
  <c r="O787" i="13" s="1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P774" i="13"/>
  <c r="O774" i="13"/>
  <c r="O773" i="13"/>
  <c r="N773" i="13"/>
  <c r="M773" i="13"/>
  <c r="P773" i="13" s="1"/>
  <c r="L773" i="13"/>
  <c r="N772" i="13"/>
  <c r="N770" i="13" s="1"/>
  <c r="M772" i="13"/>
  <c r="P772" i="13" s="1"/>
  <c r="L772" i="13"/>
  <c r="O772" i="13" s="1"/>
  <c r="N771" i="13"/>
  <c r="M771" i="13"/>
  <c r="P771" i="13" s="1"/>
  <c r="L771" i="13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P758" i="13"/>
  <c r="O758" i="13"/>
  <c r="O757" i="13"/>
  <c r="N757" i="13"/>
  <c r="M757" i="13"/>
  <c r="P757" i="13" s="1"/>
  <c r="L757" i="13"/>
  <c r="N756" i="13"/>
  <c r="N754" i="13" s="1"/>
  <c r="M756" i="13"/>
  <c r="P756" i="13" s="1"/>
  <c r="L756" i="13"/>
  <c r="O756" i="13" s="1"/>
  <c r="N755" i="13"/>
  <c r="M755" i="13"/>
  <c r="P755" i="13" s="1"/>
  <c r="L755" i="13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P741" i="13"/>
  <c r="O741" i="13"/>
  <c r="O740" i="13"/>
  <c r="N740" i="13"/>
  <c r="M740" i="13"/>
  <c r="P740" i="13" s="1"/>
  <c r="L740" i="13"/>
  <c r="N739" i="13"/>
  <c r="N737" i="13" s="1"/>
  <c r="M739" i="13"/>
  <c r="P739" i="13" s="1"/>
  <c r="L739" i="13"/>
  <c r="O739" i="13" s="1"/>
  <c r="N738" i="13"/>
  <c r="M738" i="13"/>
  <c r="P738" i="13" s="1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P690" i="13"/>
  <c r="N690" i="13"/>
  <c r="N687" i="13" s="1"/>
  <c r="L690" i="13"/>
  <c r="L687" i="13" s="1"/>
  <c r="O687" i="13" s="1"/>
  <c r="N688" i="13"/>
  <c r="M688" i="13"/>
  <c r="P688" i="13" s="1"/>
  <c r="M687" i="13"/>
  <c r="P687" i="13" s="1"/>
  <c r="P686" i="13"/>
  <c r="N686" i="13"/>
  <c r="M686" i="13"/>
  <c r="L686" i="13"/>
  <c r="O686" i="13" s="1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75" i="13" s="1"/>
  <c r="P667" i="13"/>
  <c r="O667" i="13"/>
  <c r="P666" i="13"/>
  <c r="O666" i="13"/>
  <c r="P665" i="13"/>
  <c r="N665" i="13"/>
  <c r="M665" i="13"/>
  <c r="L665" i="13"/>
  <c r="O665" i="13" s="1"/>
  <c r="P660" i="13"/>
  <c r="N660" i="13"/>
  <c r="L660" i="13"/>
  <c r="L658" i="13" s="1"/>
  <c r="O658" i="13" s="1"/>
  <c r="P659" i="13"/>
  <c r="O659" i="13"/>
  <c r="P658" i="13"/>
  <c r="N658" i="13"/>
  <c r="M658" i="13"/>
  <c r="P657" i="13"/>
  <c r="N657" i="13"/>
  <c r="M657" i="13"/>
  <c r="O656" i="13"/>
  <c r="N656" i="13"/>
  <c r="N655" i="13" s="1"/>
  <c r="M656" i="13"/>
  <c r="P656" i="13" s="1"/>
  <c r="L656" i="13"/>
  <c r="M655" i="13"/>
  <c r="P655" i="13" s="1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P633" i="13"/>
  <c r="O633" i="13"/>
  <c r="N632" i="13"/>
  <c r="M632" i="13"/>
  <c r="P632" i="13" s="1"/>
  <c r="P631" i="13"/>
  <c r="N631" i="13"/>
  <c r="M631" i="13"/>
  <c r="P630" i="13"/>
  <c r="O630" i="13"/>
  <c r="N630" i="13"/>
  <c r="M630" i="13"/>
  <c r="L630" i="13"/>
  <c r="P629" i="13"/>
  <c r="N629" i="13"/>
  <c r="M629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4" i="13"/>
  <c r="I594" i="13"/>
  <c r="J593" i="13"/>
  <c r="I593" i="13"/>
  <c r="I592" i="13" s="1"/>
  <c r="J592" i="13"/>
  <c r="J583" i="13"/>
  <c r="J582" i="13"/>
  <c r="J577" i="13"/>
  <c r="I577" i="13"/>
  <c r="K577" i="13" s="1"/>
  <c r="J576" i="13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J559" i="13"/>
  <c r="J543" i="13" s="1"/>
  <c r="P557" i="13"/>
  <c r="L557" i="13"/>
  <c r="P556" i="13"/>
  <c r="O556" i="13"/>
  <c r="P555" i="13"/>
  <c r="N555" i="13"/>
  <c r="M555" i="13"/>
  <c r="P549" i="13"/>
  <c r="N549" i="13"/>
  <c r="L549" i="13"/>
  <c r="L547" i="13" s="1"/>
  <c r="O547" i="13" s="1"/>
  <c r="P548" i="13"/>
  <c r="O548" i="13"/>
  <c r="P547" i="13"/>
  <c r="N547" i="13"/>
  <c r="M547" i="13"/>
  <c r="N546" i="13"/>
  <c r="M546" i="13"/>
  <c r="P546" i="13" s="1"/>
  <c r="N545" i="13"/>
  <c r="M545" i="13"/>
  <c r="L545" i="13"/>
  <c r="O545" i="13" s="1"/>
  <c r="I542" i="13"/>
  <c r="K542" i="13" s="1"/>
  <c r="I541" i="13"/>
  <c r="K541" i="13" s="1"/>
  <c r="I540" i="13"/>
  <c r="K540" i="13" s="1"/>
  <c r="I539" i="13"/>
  <c r="K539" i="13" s="1"/>
  <c r="I538" i="13"/>
  <c r="I537" i="13"/>
  <c r="I522" i="13" s="1"/>
  <c r="P535" i="13"/>
  <c r="L535" i="13"/>
  <c r="P534" i="13"/>
  <c r="O534" i="13"/>
  <c r="N533" i="13"/>
  <c r="M533" i="13"/>
  <c r="P533" i="13" s="1"/>
  <c r="P528" i="13"/>
  <c r="N528" i="13"/>
  <c r="N525" i="13" s="1"/>
  <c r="N523" i="13" s="1"/>
  <c r="L528" i="13"/>
  <c r="P527" i="13"/>
  <c r="O527" i="13"/>
  <c r="N526" i="13"/>
  <c r="M526" i="13"/>
  <c r="P526" i="13" s="1"/>
  <c r="M525" i="13"/>
  <c r="P525" i="13" s="1"/>
  <c r="P524" i="13"/>
  <c r="N524" i="13"/>
  <c r="M524" i="13"/>
  <c r="L524" i="13"/>
  <c r="O524" i="13" s="1"/>
  <c r="K517" i="13"/>
  <c r="J517" i="13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N505" i="13" s="1"/>
  <c r="P506" i="13"/>
  <c r="O506" i="13"/>
  <c r="P505" i="13"/>
  <c r="M505" i="13"/>
  <c r="L505" i="13"/>
  <c r="O505" i="13" s="1"/>
  <c r="P504" i="13"/>
  <c r="O504" i="13"/>
  <c r="N504" i="13"/>
  <c r="M504" i="13"/>
  <c r="L504" i="13"/>
  <c r="P503" i="13"/>
  <c r="O503" i="13"/>
  <c r="N503" i="13"/>
  <c r="M503" i="13"/>
  <c r="M502" i="13" s="1"/>
  <c r="P502" i="13" s="1"/>
  <c r="L503" i="13"/>
  <c r="O502" i="13"/>
  <c r="N502" i="13"/>
  <c r="L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P472" i="13"/>
  <c r="N472" i="13"/>
  <c r="L472" i="13"/>
  <c r="O472" i="13" s="1"/>
  <c r="P471" i="13"/>
  <c r="O471" i="13"/>
  <c r="P470" i="13"/>
  <c r="N470" i="13"/>
  <c r="M470" i="13"/>
  <c r="P469" i="13"/>
  <c r="N469" i="13"/>
  <c r="M469" i="13"/>
  <c r="P468" i="13"/>
  <c r="O468" i="13"/>
  <c r="N468" i="13"/>
  <c r="M468" i="13"/>
  <c r="M467" i="13" s="1"/>
  <c r="P467" i="13" s="1"/>
  <c r="L468" i="13"/>
  <c r="N467" i="13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60" i="13" s="1"/>
  <c r="K458" i="13"/>
  <c r="P456" i="13"/>
  <c r="L456" i="13"/>
  <c r="P455" i="13"/>
  <c r="O455" i="13"/>
  <c r="N454" i="13"/>
  <c r="M454" i="13"/>
  <c r="P454" i="13" s="1"/>
  <c r="P449" i="13"/>
  <c r="N449" i="13"/>
  <c r="N446" i="13" s="1"/>
  <c r="L449" i="13"/>
  <c r="P448" i="13"/>
  <c r="O448" i="13"/>
  <c r="N447" i="13"/>
  <c r="M447" i="13"/>
  <c r="P447" i="13" s="1"/>
  <c r="P446" i="13"/>
  <c r="M446" i="13"/>
  <c r="P445" i="13"/>
  <c r="O445" i="13"/>
  <c r="N445" i="13"/>
  <c r="M445" i="13"/>
  <c r="L445" i="13"/>
  <c r="P444" i="13"/>
  <c r="M444" i="13"/>
  <c r="J443" i="13"/>
  <c r="J442" i="13"/>
  <c r="I441" i="13"/>
  <c r="K441" i="13" s="1"/>
  <c r="I440" i="13"/>
  <c r="I439" i="13"/>
  <c r="K439" i="13" s="1"/>
  <c r="I438" i="13"/>
  <c r="K438" i="13" s="1"/>
  <c r="I437" i="13"/>
  <c r="K437" i="13" s="1"/>
  <c r="I435" i="13"/>
  <c r="J434" i="13"/>
  <c r="P431" i="13"/>
  <c r="L431" i="13"/>
  <c r="P430" i="13"/>
  <c r="O430" i="13"/>
  <c r="N429" i="13"/>
  <c r="M429" i="13"/>
  <c r="P429" i="13" s="1"/>
  <c r="P424" i="13"/>
  <c r="N424" i="13"/>
  <c r="N421" i="13" s="1"/>
  <c r="L424" i="13"/>
  <c r="O424" i="13" s="1"/>
  <c r="P423" i="13"/>
  <c r="O423" i="13"/>
  <c r="N422" i="13"/>
  <c r="M422" i="13"/>
  <c r="P422" i="13" s="1"/>
  <c r="P421" i="13"/>
  <c r="M421" i="13"/>
  <c r="P420" i="13"/>
  <c r="O420" i="13"/>
  <c r="N420" i="13"/>
  <c r="N419" i="13" s="1"/>
  <c r="M420" i="13"/>
  <c r="L420" i="13"/>
  <c r="P419" i="13"/>
  <c r="M419" i="13"/>
  <c r="J418" i="13"/>
  <c r="K413" i="13"/>
  <c r="K412" i="13"/>
  <c r="N410" i="13"/>
  <c r="N408" i="13" s="1"/>
  <c r="M410" i="13"/>
  <c r="M408" i="13" s="1"/>
  <c r="P408" i="13" s="1"/>
  <c r="L410" i="13"/>
  <c r="P409" i="13"/>
  <c r="O409" i="13"/>
  <c r="N407" i="13"/>
  <c r="N405" i="13" s="1"/>
  <c r="M407" i="13"/>
  <c r="M405" i="13" s="1"/>
  <c r="P405" i="13" s="1"/>
  <c r="L407" i="13"/>
  <c r="O407" i="13" s="1"/>
  <c r="P406" i="13"/>
  <c r="O406" i="13"/>
  <c r="O403" i="13"/>
  <c r="N403" i="13"/>
  <c r="M403" i="13"/>
  <c r="P403" i="13" s="1"/>
  <c r="L403" i="13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M394" i="13"/>
  <c r="L394" i="13"/>
  <c r="O394" i="13" s="1"/>
  <c r="P393" i="13"/>
  <c r="O393" i="13"/>
  <c r="P390" i="13"/>
  <c r="O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L351" i="13" s="1"/>
  <c r="P352" i="13"/>
  <c r="O352" i="13"/>
  <c r="N350" i="13"/>
  <c r="M350" i="13"/>
  <c r="M348" i="13" s="1"/>
  <c r="L350" i="13"/>
  <c r="P349" i="13"/>
  <c r="O349" i="13"/>
  <c r="P346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P335" i="13"/>
  <c r="O335" i="13"/>
  <c r="N333" i="13"/>
  <c r="M333" i="13"/>
  <c r="M331" i="13" s="1"/>
  <c r="L333" i="13"/>
  <c r="P332" i="13"/>
  <c r="O332" i="13"/>
  <c r="P329" i="13"/>
  <c r="N329" i="13"/>
  <c r="M329" i="13"/>
  <c r="L329" i="13"/>
  <c r="O329" i="13" s="1"/>
  <c r="I327" i="13"/>
  <c r="I325" i="13"/>
  <c r="K325" i="13" s="1"/>
  <c r="N323" i="13"/>
  <c r="N321" i="13" s="1"/>
  <c r="M323" i="13"/>
  <c r="L323" i="13"/>
  <c r="O323" i="13" s="1"/>
  <c r="P322" i="13"/>
  <c r="O322" i="13"/>
  <c r="N320" i="13"/>
  <c r="N318" i="13" s="1"/>
  <c r="M320" i="13"/>
  <c r="L320" i="13"/>
  <c r="P319" i="13"/>
  <c r="O319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O306" i="13" s="1"/>
  <c r="P305" i="13"/>
  <c r="O305" i="13"/>
  <c r="N303" i="13"/>
  <c r="M303" i="13"/>
  <c r="M301" i="13" s="1"/>
  <c r="L303" i="13"/>
  <c r="L301" i="13" s="1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P285" i="13" s="1"/>
  <c r="L285" i="13"/>
  <c r="O285" i="13" s="1"/>
  <c r="P284" i="13"/>
  <c r="O284" i="13"/>
  <c r="N282" i="13"/>
  <c r="N280" i="13" s="1"/>
  <c r="M282" i="13"/>
  <c r="L282" i="13"/>
  <c r="O282" i="13" s="1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M267" i="13" s="1"/>
  <c r="P267" i="13" s="1"/>
  <c r="L269" i="13"/>
  <c r="O269" i="13" s="1"/>
  <c r="P268" i="13"/>
  <c r="O268" i="13"/>
  <c r="N266" i="13"/>
  <c r="M266" i="13"/>
  <c r="M264" i="13" s="1"/>
  <c r="P264" i="13" s="1"/>
  <c r="L266" i="13"/>
  <c r="P265" i="13"/>
  <c r="O265" i="13"/>
  <c r="P262" i="13"/>
  <c r="O262" i="13"/>
  <c r="N262" i="13"/>
  <c r="M262" i="13"/>
  <c r="L262" i="13"/>
  <c r="J260" i="13"/>
  <c r="K258" i="13"/>
  <c r="K257" i="13"/>
  <c r="K255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N184" i="13" s="1"/>
  <c r="M186" i="13"/>
  <c r="M184" i="13" s="1"/>
  <c r="L186" i="13"/>
  <c r="P185" i="13"/>
  <c r="O185" i="13"/>
  <c r="P182" i="13"/>
  <c r="O182" i="13"/>
  <c r="N182" i="13"/>
  <c r="M182" i="13"/>
  <c r="L182" i="13"/>
  <c r="J177" i="13"/>
  <c r="I176" i="13"/>
  <c r="K176" i="13" s="1"/>
  <c r="J174" i="13"/>
  <c r="N173" i="13"/>
  <c r="N171" i="13" s="1"/>
  <c r="M173" i="13"/>
  <c r="P173" i="13" s="1"/>
  <c r="L173" i="13"/>
  <c r="O173" i="13" s="1"/>
  <c r="P172" i="13"/>
  <c r="O172" i="13"/>
  <c r="N170" i="13"/>
  <c r="N168" i="13" s="1"/>
  <c r="M170" i="13"/>
  <c r="L170" i="13"/>
  <c r="P169" i="13"/>
  <c r="O169" i="13"/>
  <c r="P166" i="13"/>
  <c r="N166" i="13"/>
  <c r="M166" i="13"/>
  <c r="L166" i="13"/>
  <c r="O166" i="13" s="1"/>
  <c r="J164" i="13"/>
  <c r="I159" i="13"/>
  <c r="I148" i="13" s="1"/>
  <c r="K148" i="13" s="1"/>
  <c r="N157" i="13"/>
  <c r="N155" i="13" s="1"/>
  <c r="M157" i="13"/>
  <c r="P157" i="13" s="1"/>
  <c r="L157" i="13"/>
  <c r="L155" i="13" s="1"/>
  <c r="O155" i="13" s="1"/>
  <c r="P156" i="13"/>
  <c r="O156" i="13"/>
  <c r="N154" i="13"/>
  <c r="N152" i="13" s="1"/>
  <c r="M154" i="13"/>
  <c r="M152" i="13" s="1"/>
  <c r="P152" i="13" s="1"/>
  <c r="L154" i="13"/>
  <c r="L152" i="13" s="1"/>
  <c r="O152" i="13" s="1"/>
  <c r="P153" i="13"/>
  <c r="O153" i="13"/>
  <c r="N150" i="13"/>
  <c r="M150" i="13"/>
  <c r="P150" i="13" s="1"/>
  <c r="L150" i="13"/>
  <c r="O150" i="13" s="1"/>
  <c r="J148" i="13"/>
  <c r="I146" i="13"/>
  <c r="I130" i="13" s="1"/>
  <c r="K130" i="13" s="1"/>
  <c r="I145" i="13"/>
  <c r="K145" i="13" s="1"/>
  <c r="I144" i="13"/>
  <c r="N140" i="13"/>
  <c r="N138" i="13" s="1"/>
  <c r="M140" i="13"/>
  <c r="M138" i="13" s="1"/>
  <c r="L140" i="13"/>
  <c r="P139" i="13"/>
  <c r="O139" i="13"/>
  <c r="N137" i="13"/>
  <c r="M137" i="13"/>
  <c r="M135" i="13" s="1"/>
  <c r="L137" i="13"/>
  <c r="P136" i="13"/>
  <c r="O136" i="13"/>
  <c r="P133" i="13"/>
  <c r="N133" i="13"/>
  <c r="M133" i="13"/>
  <c r="L133" i="13"/>
  <c r="J130" i="13"/>
  <c r="N127" i="13"/>
  <c r="M127" i="13"/>
  <c r="P127" i="13" s="1"/>
  <c r="L127" i="13"/>
  <c r="L125" i="13" s="1"/>
  <c r="O125" i="13" s="1"/>
  <c r="P126" i="13"/>
  <c r="O126" i="13"/>
  <c r="N124" i="13"/>
  <c r="N122" i="13" s="1"/>
  <c r="M124" i="13"/>
  <c r="P124" i="13" s="1"/>
  <c r="L124" i="13"/>
  <c r="L122" i="13" s="1"/>
  <c r="O122" i="13" s="1"/>
  <c r="P123" i="13"/>
  <c r="O123" i="13"/>
  <c r="N120" i="13"/>
  <c r="M120" i="13"/>
  <c r="P120" i="13" s="1"/>
  <c r="L120" i="13"/>
  <c r="O120" i="13" s="1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J86" i="13" s="1"/>
  <c r="I98" i="13"/>
  <c r="K98" i="13" s="1"/>
  <c r="N96" i="13"/>
  <c r="N94" i="13" s="1"/>
  <c r="M96" i="13"/>
  <c r="M94" i="13" s="1"/>
  <c r="P94" i="13" s="1"/>
  <c r="L96" i="13"/>
  <c r="O96" i="13" s="1"/>
  <c r="P95" i="13"/>
  <c r="O95" i="13"/>
  <c r="N93" i="13"/>
  <c r="N91" i="13" s="1"/>
  <c r="M93" i="13"/>
  <c r="M91" i="13" s="1"/>
  <c r="L93" i="13"/>
  <c r="L91" i="13" s="1"/>
  <c r="P92" i="13"/>
  <c r="O92" i="13"/>
  <c r="O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65" i="13" s="1"/>
  <c r="J76" i="13"/>
  <c r="N74" i="13"/>
  <c r="N72" i="13" s="1"/>
  <c r="M74" i="13"/>
  <c r="P74" i="13" s="1"/>
  <c r="L74" i="13"/>
  <c r="O74" i="13" s="1"/>
  <c r="P73" i="13"/>
  <c r="O73" i="13"/>
  <c r="N71" i="13"/>
  <c r="M71" i="13"/>
  <c r="P71" i="13" s="1"/>
  <c r="L71" i="13"/>
  <c r="L69" i="13" s="1"/>
  <c r="O69" i="13" s="1"/>
  <c r="P70" i="13"/>
  <c r="O70" i="13"/>
  <c r="P67" i="13"/>
  <c r="O67" i="13"/>
  <c r="N67" i="13"/>
  <c r="M67" i="13"/>
  <c r="L67" i="13"/>
  <c r="J64" i="13"/>
  <c r="N61" i="13"/>
  <c r="M61" i="13"/>
  <c r="M59" i="13" s="1"/>
  <c r="L61" i="13"/>
  <c r="L59" i="13" s="1"/>
  <c r="P60" i="13"/>
  <c r="O60" i="13"/>
  <c r="N58" i="13"/>
  <c r="M58" i="13"/>
  <c r="M56" i="13" s="1"/>
  <c r="L58" i="13"/>
  <c r="L56" i="13" s="1"/>
  <c r="P57" i="13"/>
  <c r="O57" i="13"/>
  <c r="O54" i="13"/>
  <c r="N54" i="13"/>
  <c r="M54" i="13"/>
  <c r="P54" i="13" s="1"/>
  <c r="L54" i="13"/>
  <c r="N49" i="13"/>
  <c r="N47" i="13" s="1"/>
  <c r="M49" i="13"/>
  <c r="M47" i="13" s="1"/>
  <c r="P47" i="13" s="1"/>
  <c r="L49" i="13"/>
  <c r="L47" i="13" s="1"/>
  <c r="O47" i="13" s="1"/>
  <c r="P48" i="13"/>
  <c r="O48" i="13"/>
  <c r="N46" i="13"/>
  <c r="N44" i="13" s="1"/>
  <c r="M46" i="13"/>
  <c r="L46" i="13"/>
  <c r="P45" i="13"/>
  <c r="O45" i="13"/>
  <c r="P42" i="13"/>
  <c r="O42" i="13"/>
  <c r="N42" i="13"/>
  <c r="M42" i="13"/>
  <c r="L42" i="13"/>
  <c r="N36" i="13"/>
  <c r="M36" i="13"/>
  <c r="P36" i="13" s="1"/>
  <c r="N35" i="13"/>
  <c r="N34" i="13" s="1"/>
  <c r="M35" i="13"/>
  <c r="P35" i="13" s="1"/>
  <c r="L35" i="13"/>
  <c r="O35" i="13" s="1"/>
  <c r="P33" i="13"/>
  <c r="N33" i="13"/>
  <c r="N30" i="13" s="1"/>
  <c r="M33" i="13"/>
  <c r="P32" i="13"/>
  <c r="O32" i="13"/>
  <c r="N32" i="13"/>
  <c r="N31" i="13" s="1"/>
  <c r="M32" i="13"/>
  <c r="L32" i="13"/>
  <c r="M31" i="13"/>
  <c r="P31" i="13" s="1"/>
  <c r="M30" i="13"/>
  <c r="P30" i="13" s="1"/>
  <c r="M29" i="13"/>
  <c r="P29" i="13" s="1"/>
  <c r="P25" i="13"/>
  <c r="O25" i="13"/>
  <c r="N25" i="13"/>
  <c r="M25" i="13"/>
  <c r="L25" i="13"/>
  <c r="N22" i="13"/>
  <c r="M22" i="13"/>
  <c r="M19" i="13" s="1"/>
  <c r="L22" i="13"/>
  <c r="N19" i="13"/>
  <c r="N15" i="13"/>
  <c r="M15" i="13"/>
  <c r="P15" i="13" s="1"/>
  <c r="L15" i="13"/>
  <c r="O15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P817" i="12"/>
  <c r="O817" i="12"/>
  <c r="P816" i="12"/>
  <c r="O816" i="12"/>
  <c r="O815" i="12"/>
  <c r="N815" i="12"/>
  <c r="M815" i="12"/>
  <c r="P815" i="12" s="1"/>
  <c r="L815" i="12"/>
  <c r="P810" i="12"/>
  <c r="O810" i="12"/>
  <c r="N810" i="12"/>
  <c r="N808" i="12" s="1"/>
  <c r="P809" i="12"/>
  <c r="O809" i="12"/>
  <c r="O808" i="12"/>
  <c r="M808" i="12"/>
  <c r="P808" i="12" s="1"/>
  <c r="L808" i="12"/>
  <c r="P807" i="12"/>
  <c r="M807" i="12"/>
  <c r="L807" i="12"/>
  <c r="O807" i="12" s="1"/>
  <c r="O806" i="12"/>
  <c r="N806" i="12"/>
  <c r="M806" i="12"/>
  <c r="L806" i="12"/>
  <c r="L805" i="12"/>
  <c r="O805" i="12" s="1"/>
  <c r="K804" i="12"/>
  <c r="J804" i="12"/>
  <c r="K802" i="12"/>
  <c r="J801" i="12"/>
  <c r="J800" i="12"/>
  <c r="J785" i="12" s="1"/>
  <c r="I800" i="12"/>
  <c r="K800" i="12" s="1"/>
  <c r="P798" i="12"/>
  <c r="O798" i="12"/>
  <c r="P797" i="12"/>
  <c r="O797" i="12"/>
  <c r="P796" i="12"/>
  <c r="N796" i="12"/>
  <c r="M796" i="12"/>
  <c r="L796" i="12"/>
  <c r="O796" i="12" s="1"/>
  <c r="P791" i="12"/>
  <c r="N791" i="12"/>
  <c r="L791" i="12"/>
  <c r="L789" i="12" s="1"/>
  <c r="O789" i="12" s="1"/>
  <c r="P790" i="12"/>
  <c r="O790" i="12"/>
  <c r="N789" i="12"/>
  <c r="M789" i="12"/>
  <c r="P789" i="12" s="1"/>
  <c r="P788" i="12"/>
  <c r="N788" i="12"/>
  <c r="M788" i="12"/>
  <c r="O787" i="12"/>
  <c r="N787" i="12"/>
  <c r="M787" i="12"/>
  <c r="L787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2" i="12" s="1"/>
  <c r="P774" i="12"/>
  <c r="O774" i="12"/>
  <c r="P773" i="12"/>
  <c r="N773" i="12"/>
  <c r="M773" i="12"/>
  <c r="L773" i="12"/>
  <c r="O773" i="12" s="1"/>
  <c r="O772" i="12"/>
  <c r="M772" i="12"/>
  <c r="P772" i="12" s="1"/>
  <c r="L772" i="12"/>
  <c r="P771" i="12"/>
  <c r="N771" i="12"/>
  <c r="N770" i="12" s="1"/>
  <c r="M771" i="12"/>
  <c r="L771" i="12"/>
  <c r="M770" i="12"/>
  <c r="P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6" i="12" s="1"/>
  <c r="P758" i="12"/>
  <c r="O758" i="12"/>
  <c r="P757" i="12"/>
  <c r="N757" i="12"/>
  <c r="M757" i="12"/>
  <c r="L757" i="12"/>
  <c r="O757" i="12" s="1"/>
  <c r="O756" i="12"/>
  <c r="M756" i="12"/>
  <c r="P756" i="12" s="1"/>
  <c r="L756" i="12"/>
  <c r="P755" i="12"/>
  <c r="N755" i="12"/>
  <c r="M755" i="12"/>
  <c r="L755" i="12"/>
  <c r="M754" i="12"/>
  <c r="P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39" i="12" s="1"/>
  <c r="P741" i="12"/>
  <c r="O741" i="12"/>
  <c r="P740" i="12"/>
  <c r="N740" i="12"/>
  <c r="M740" i="12"/>
  <c r="L740" i="12"/>
  <c r="O740" i="12" s="1"/>
  <c r="O739" i="12"/>
  <c r="M739" i="12"/>
  <c r="P739" i="12" s="1"/>
  <c r="L739" i="12"/>
  <c r="P738" i="12"/>
  <c r="N738" i="12"/>
  <c r="N737" i="12" s="1"/>
  <c r="M738" i="12"/>
  <c r="L738" i="12"/>
  <c r="M737" i="12"/>
  <c r="P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L688" i="12" s="1"/>
  <c r="O688" i="12" s="1"/>
  <c r="N688" i="12"/>
  <c r="M688" i="12"/>
  <c r="P688" i="12" s="1"/>
  <c r="N687" i="12"/>
  <c r="N685" i="12" s="1"/>
  <c r="M687" i="12"/>
  <c r="P687" i="12" s="1"/>
  <c r="N686" i="12"/>
  <c r="M686" i="12"/>
  <c r="L686" i="12"/>
  <c r="O686" i="12" s="1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K672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N657" i="12" s="1"/>
  <c r="L660" i="12"/>
  <c r="L658" i="12" s="1"/>
  <c r="O658" i="12" s="1"/>
  <c r="P659" i="12"/>
  <c r="O659" i="12"/>
  <c r="P658" i="12"/>
  <c r="N658" i="12"/>
  <c r="M658" i="12"/>
  <c r="P657" i="12"/>
  <c r="M657" i="12"/>
  <c r="P656" i="12"/>
  <c r="O656" i="12"/>
  <c r="N656" i="12"/>
  <c r="M656" i="12"/>
  <c r="L656" i="12"/>
  <c r="N655" i="12"/>
  <c r="M655" i="12"/>
  <c r="P655" i="12" s="1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N639" i="12"/>
  <c r="M639" i="12"/>
  <c r="P639" i="12" s="1"/>
  <c r="P634" i="12"/>
  <c r="N634" i="12"/>
  <c r="N631" i="12" s="1"/>
  <c r="L634" i="12"/>
  <c r="P633" i="12"/>
  <c r="O633" i="12"/>
  <c r="M632" i="12"/>
  <c r="P632" i="12" s="1"/>
  <c r="M631" i="12"/>
  <c r="P630" i="12"/>
  <c r="N630" i="12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4" i="12"/>
  <c r="I594" i="12"/>
  <c r="K594" i="12" s="1"/>
  <c r="I593" i="12"/>
  <c r="J592" i="12"/>
  <c r="J583" i="12"/>
  <c r="J582" i="12"/>
  <c r="J577" i="12"/>
  <c r="I577" i="12"/>
  <c r="K577" i="12" s="1"/>
  <c r="J576" i="12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J559" i="12"/>
  <c r="J543" i="12" s="1"/>
  <c r="P557" i="12"/>
  <c r="L557" i="12"/>
  <c r="L555" i="12" s="1"/>
  <c r="O555" i="12" s="1"/>
  <c r="P556" i="12"/>
  <c r="O556" i="12"/>
  <c r="P555" i="12"/>
  <c r="N555" i="12"/>
  <c r="M555" i="12"/>
  <c r="P549" i="12"/>
  <c r="N549" i="12"/>
  <c r="L549" i="12"/>
  <c r="L547" i="12" s="1"/>
  <c r="O547" i="12" s="1"/>
  <c r="P548" i="12"/>
  <c r="O548" i="12"/>
  <c r="P547" i="12"/>
  <c r="N547" i="12"/>
  <c r="M547" i="12"/>
  <c r="P546" i="12"/>
  <c r="N546" i="12"/>
  <c r="N544" i="12" s="1"/>
  <c r="M546" i="12"/>
  <c r="O545" i="12"/>
  <c r="N545" i="12"/>
  <c r="M545" i="12"/>
  <c r="L545" i="12"/>
  <c r="I542" i="12"/>
  <c r="K542" i="12" s="1"/>
  <c r="I541" i="12"/>
  <c r="K541" i="12" s="1"/>
  <c r="I540" i="12"/>
  <c r="K540" i="12" s="1"/>
  <c r="I539" i="12"/>
  <c r="I538" i="12"/>
  <c r="K538" i="12" s="1"/>
  <c r="I537" i="12"/>
  <c r="P535" i="12"/>
  <c r="L535" i="12"/>
  <c r="P534" i="12"/>
  <c r="O534" i="12"/>
  <c r="P533" i="12"/>
  <c r="N533" i="12"/>
  <c r="M533" i="12"/>
  <c r="P528" i="12"/>
  <c r="N528" i="12"/>
  <c r="N526" i="12" s="1"/>
  <c r="L528" i="12"/>
  <c r="L526" i="12" s="1"/>
  <c r="O526" i="12" s="1"/>
  <c r="P527" i="12"/>
  <c r="O527" i="12"/>
  <c r="M526" i="12"/>
  <c r="P526" i="12" s="1"/>
  <c r="N525" i="12"/>
  <c r="N523" i="12" s="1"/>
  <c r="M525" i="12"/>
  <c r="P525" i="12" s="1"/>
  <c r="N524" i="12"/>
  <c r="M524" i="12"/>
  <c r="L524" i="12"/>
  <c r="O524" i="12" s="1"/>
  <c r="K517" i="12"/>
  <c r="J517" i="12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P506" i="12"/>
  <c r="O506" i="12"/>
  <c r="M505" i="12"/>
  <c r="P505" i="12" s="1"/>
  <c r="L505" i="12"/>
  <c r="O505" i="12" s="1"/>
  <c r="P504" i="12"/>
  <c r="M504" i="12"/>
  <c r="L504" i="12"/>
  <c r="P503" i="12"/>
  <c r="O503" i="12"/>
  <c r="N503" i="12"/>
  <c r="M503" i="12"/>
  <c r="M502" i="12" s="1"/>
  <c r="L503" i="12"/>
  <c r="P502" i="12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P472" i="12"/>
  <c r="N472" i="12"/>
  <c r="L472" i="12"/>
  <c r="L470" i="12" s="1"/>
  <c r="O470" i="12" s="1"/>
  <c r="P471" i="12"/>
  <c r="O471" i="12"/>
  <c r="N470" i="12"/>
  <c r="M470" i="12"/>
  <c r="P470" i="12" s="1"/>
  <c r="P469" i="12"/>
  <c r="N469" i="12"/>
  <c r="M469" i="12"/>
  <c r="P468" i="12"/>
  <c r="O468" i="12"/>
  <c r="N468" i="12"/>
  <c r="M468" i="12"/>
  <c r="M467" i="12" s="1"/>
  <c r="P467" i="12" s="1"/>
  <c r="L468" i="12"/>
  <c r="N467" i="12"/>
  <c r="J466" i="12"/>
  <c r="I466" i="12"/>
  <c r="J465" i="12"/>
  <c r="I465" i="12"/>
  <c r="K465" i="12" s="1"/>
  <c r="I464" i="12"/>
  <c r="I463" i="12"/>
  <c r="I462" i="12"/>
  <c r="K462" i="12" s="1"/>
  <c r="I460" i="12"/>
  <c r="K460" i="12" s="1"/>
  <c r="K458" i="12"/>
  <c r="P456" i="12"/>
  <c r="L456" i="12"/>
  <c r="L454" i="12" s="1"/>
  <c r="O454" i="12" s="1"/>
  <c r="P455" i="12"/>
  <c r="O455" i="12"/>
  <c r="N454" i="12"/>
  <c r="M454" i="12"/>
  <c r="P454" i="12" s="1"/>
  <c r="P449" i="12"/>
  <c r="N449" i="12"/>
  <c r="N446" i="12" s="1"/>
  <c r="L449" i="12"/>
  <c r="O449" i="12" s="1"/>
  <c r="P448" i="12"/>
  <c r="O448" i="12"/>
  <c r="N447" i="12"/>
  <c r="M447" i="12"/>
  <c r="P447" i="12" s="1"/>
  <c r="M446" i="12"/>
  <c r="P445" i="12"/>
  <c r="N445" i="12"/>
  <c r="N444" i="12" s="1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K435" i="12" s="1"/>
  <c r="J434" i="12"/>
  <c r="J418" i="12" s="1"/>
  <c r="P431" i="12"/>
  <c r="L431" i="12"/>
  <c r="L429" i="12" s="1"/>
  <c r="O429" i="12" s="1"/>
  <c r="P430" i="12"/>
  <c r="O430" i="12"/>
  <c r="N429" i="12"/>
  <c r="M429" i="12"/>
  <c r="P429" i="12" s="1"/>
  <c r="P424" i="12"/>
  <c r="N424" i="12"/>
  <c r="N421" i="12" s="1"/>
  <c r="L424" i="12"/>
  <c r="P423" i="12"/>
  <c r="O423" i="12"/>
  <c r="M422" i="12"/>
  <c r="P422" i="12" s="1"/>
  <c r="M421" i="12"/>
  <c r="P420" i="12"/>
  <c r="N420" i="12"/>
  <c r="M420" i="12"/>
  <c r="L420" i="12"/>
  <c r="K413" i="12"/>
  <c r="K412" i="12"/>
  <c r="N410" i="12"/>
  <c r="N408" i="12" s="1"/>
  <c r="M410" i="12"/>
  <c r="M408" i="12" s="1"/>
  <c r="P408" i="12" s="1"/>
  <c r="L410" i="12"/>
  <c r="L408" i="12" s="1"/>
  <c r="O408" i="12" s="1"/>
  <c r="P409" i="12"/>
  <c r="O409" i="12"/>
  <c r="N407" i="12"/>
  <c r="N405" i="12" s="1"/>
  <c r="M407" i="12"/>
  <c r="L407" i="12"/>
  <c r="O407" i="12" s="1"/>
  <c r="P406" i="12"/>
  <c r="O406" i="12"/>
  <c r="P403" i="12"/>
  <c r="O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L397" i="12"/>
  <c r="O397" i="12" s="1"/>
  <c r="P396" i="12"/>
  <c r="O396" i="12"/>
  <c r="N394" i="12"/>
  <c r="N392" i="12" s="1"/>
  <c r="M394" i="12"/>
  <c r="P394" i="12" s="1"/>
  <c r="L394" i="12"/>
  <c r="O394" i="12" s="1"/>
  <c r="P393" i="12"/>
  <c r="O393" i="12"/>
  <c r="P390" i="12"/>
  <c r="N390" i="12"/>
  <c r="M390" i="12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L351" i="12" s="1"/>
  <c r="P352" i="12"/>
  <c r="O352" i="12"/>
  <c r="N350" i="12"/>
  <c r="M350" i="12"/>
  <c r="L350" i="12"/>
  <c r="L348" i="12" s="1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N331" i="12" s="1"/>
  <c r="M333" i="12"/>
  <c r="M331" i="12" s="1"/>
  <c r="L333" i="12"/>
  <c r="L331" i="12" s="1"/>
  <c r="P332" i="12"/>
  <c r="O332" i="12"/>
  <c r="N329" i="12"/>
  <c r="M329" i="12"/>
  <c r="P329" i="12" s="1"/>
  <c r="L329" i="12"/>
  <c r="O329" i="12" s="1"/>
  <c r="I327" i="12"/>
  <c r="I325" i="12"/>
  <c r="K325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L320" i="12"/>
  <c r="L318" i="12" s="1"/>
  <c r="O318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I297" i="12" s="1"/>
  <c r="K297" i="12" s="1"/>
  <c r="N306" i="12"/>
  <c r="N304" i="12" s="1"/>
  <c r="M306" i="12"/>
  <c r="P306" i="12" s="1"/>
  <c r="L306" i="12"/>
  <c r="P305" i="12"/>
  <c r="O305" i="12"/>
  <c r="N303" i="12"/>
  <c r="N301" i="12" s="1"/>
  <c r="M303" i="12"/>
  <c r="L303" i="12"/>
  <c r="P302" i="12"/>
  <c r="O302" i="12"/>
  <c r="P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N285" i="12"/>
  <c r="N283" i="12" s="1"/>
  <c r="M285" i="12"/>
  <c r="L285" i="12"/>
  <c r="P284" i="12"/>
  <c r="O284" i="12"/>
  <c r="N282" i="12"/>
  <c r="N280" i="12" s="1"/>
  <c r="M282" i="12"/>
  <c r="L282" i="12"/>
  <c r="L280" i="12" s="1"/>
  <c r="O280" i="12" s="1"/>
  <c r="P281" i="12"/>
  <c r="O281" i="12"/>
  <c r="N278" i="12"/>
  <c r="M278" i="12"/>
  <c r="L278" i="12"/>
  <c r="O278" i="12" s="1"/>
  <c r="J276" i="12"/>
  <c r="I271" i="12"/>
  <c r="I260" i="12" s="1"/>
  <c r="K260" i="12" s="1"/>
  <c r="N269" i="12"/>
  <c r="N267" i="12" s="1"/>
  <c r="M269" i="12"/>
  <c r="L269" i="12"/>
  <c r="P268" i="12"/>
  <c r="O268" i="12"/>
  <c r="N266" i="12"/>
  <c r="N264" i="12" s="1"/>
  <c r="M266" i="12"/>
  <c r="L266" i="12"/>
  <c r="P265" i="12"/>
  <c r="O265" i="12"/>
  <c r="P262" i="12"/>
  <c r="N262" i="12"/>
  <c r="M262" i="12"/>
  <c r="L262" i="12"/>
  <c r="J260" i="12"/>
  <c r="K258" i="12"/>
  <c r="K257" i="12"/>
  <c r="L253" i="12"/>
  <c r="L252" i="12"/>
  <c r="L251" i="12"/>
  <c r="L250" i="12"/>
  <c r="P249" i="12"/>
  <c r="N249" i="12"/>
  <c r="J248" i="12"/>
  <c r="K247" i="12"/>
  <c r="K246" i="12"/>
  <c r="I244" i="12"/>
  <c r="I237" i="12" s="1"/>
  <c r="K237" i="12" s="1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M187" i="12" s="1"/>
  <c r="P187" i="12" s="1"/>
  <c r="L189" i="12"/>
  <c r="L187" i="12" s="1"/>
  <c r="O187" i="12" s="1"/>
  <c r="P188" i="12"/>
  <c r="O188" i="12"/>
  <c r="N186" i="12"/>
  <c r="N184" i="12" s="1"/>
  <c r="M186" i="12"/>
  <c r="M184" i="12" s="1"/>
  <c r="L186" i="12"/>
  <c r="P185" i="12"/>
  <c r="O185" i="12"/>
  <c r="P182" i="12"/>
  <c r="O182" i="12"/>
  <c r="N182" i="12"/>
  <c r="M182" i="12"/>
  <c r="L182" i="12"/>
  <c r="J177" i="12"/>
  <c r="J164" i="12" s="1"/>
  <c r="I176" i="12"/>
  <c r="K176" i="12" s="1"/>
  <c r="J174" i="12"/>
  <c r="N173" i="12"/>
  <c r="N171" i="12" s="1"/>
  <c r="M173" i="12"/>
  <c r="M171" i="12" s="1"/>
  <c r="P171" i="12" s="1"/>
  <c r="L173" i="12"/>
  <c r="L171" i="12" s="1"/>
  <c r="O171" i="12" s="1"/>
  <c r="P172" i="12"/>
  <c r="O172" i="12"/>
  <c r="N170" i="12"/>
  <c r="M170" i="12"/>
  <c r="M168" i="12" s="1"/>
  <c r="L170" i="12"/>
  <c r="P169" i="12"/>
  <c r="O169" i="12"/>
  <c r="P166" i="12"/>
  <c r="O166" i="12"/>
  <c r="N166" i="12"/>
  <c r="M166" i="12"/>
  <c r="L166" i="12"/>
  <c r="I159" i="12"/>
  <c r="I148" i="12" s="1"/>
  <c r="K148" i="12" s="1"/>
  <c r="N157" i="12"/>
  <c r="N155" i="12" s="1"/>
  <c r="M157" i="12"/>
  <c r="L157" i="12"/>
  <c r="O157" i="12" s="1"/>
  <c r="P156" i="12"/>
  <c r="O156" i="12"/>
  <c r="N154" i="12"/>
  <c r="N152" i="12" s="1"/>
  <c r="M154" i="12"/>
  <c r="P154" i="12" s="1"/>
  <c r="L154" i="12"/>
  <c r="O154" i="12" s="1"/>
  <c r="P153" i="12"/>
  <c r="O153" i="12"/>
  <c r="P150" i="12"/>
  <c r="N150" i="12"/>
  <c r="M150" i="12"/>
  <c r="L150" i="12"/>
  <c r="J148" i="12"/>
  <c r="I146" i="12"/>
  <c r="K146" i="12" s="1"/>
  <c r="I145" i="12"/>
  <c r="I144" i="12"/>
  <c r="N140" i="12"/>
  <c r="N138" i="12" s="1"/>
  <c r="M140" i="12"/>
  <c r="P140" i="12" s="1"/>
  <c r="L140" i="12"/>
  <c r="L138" i="12" s="1"/>
  <c r="O138" i="12" s="1"/>
  <c r="P139" i="12"/>
  <c r="O139" i="12"/>
  <c r="N137" i="12"/>
  <c r="N135" i="12" s="1"/>
  <c r="M137" i="12"/>
  <c r="P137" i="12" s="1"/>
  <c r="L137" i="12"/>
  <c r="O137" i="12" s="1"/>
  <c r="P136" i="12"/>
  <c r="O136" i="12"/>
  <c r="O133" i="12"/>
  <c r="N133" i="12"/>
  <c r="M133" i="12"/>
  <c r="P133" i="12" s="1"/>
  <c r="L133" i="12"/>
  <c r="J130" i="12"/>
  <c r="N127" i="12"/>
  <c r="N125" i="12" s="1"/>
  <c r="M127" i="12"/>
  <c r="L127" i="12"/>
  <c r="O127" i="12" s="1"/>
  <c r="P126" i="12"/>
  <c r="O126" i="12"/>
  <c r="N124" i="12"/>
  <c r="N122" i="12" s="1"/>
  <c r="M124" i="12"/>
  <c r="P124" i="12" s="1"/>
  <c r="L124" i="12"/>
  <c r="O124" i="12" s="1"/>
  <c r="P123" i="12"/>
  <c r="O123" i="12"/>
  <c r="P120" i="12"/>
  <c r="N120" i="12"/>
  <c r="M120" i="12"/>
  <c r="L120" i="12"/>
  <c r="I116" i="12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J98" i="12"/>
  <c r="I98" i="12"/>
  <c r="K98" i="12" s="1"/>
  <c r="N96" i="12"/>
  <c r="N94" i="12" s="1"/>
  <c r="M96" i="12"/>
  <c r="M94" i="12" s="1"/>
  <c r="P94" i="12" s="1"/>
  <c r="L96" i="12"/>
  <c r="L94" i="12" s="1"/>
  <c r="O94" i="12" s="1"/>
  <c r="P95" i="12"/>
  <c r="O95" i="12"/>
  <c r="N93" i="12"/>
  <c r="N91" i="12" s="1"/>
  <c r="M93" i="12"/>
  <c r="L93" i="12"/>
  <c r="L91" i="12" s="1"/>
  <c r="P92" i="12"/>
  <c r="O92" i="12"/>
  <c r="P89" i="12"/>
  <c r="O89" i="12"/>
  <c r="N89" i="12"/>
  <c r="M89" i="12"/>
  <c r="L89" i="12"/>
  <c r="J86" i="12"/>
  <c r="I84" i="12"/>
  <c r="K84" i="12" s="1"/>
  <c r="I83" i="12"/>
  <c r="K83" i="12" s="1"/>
  <c r="I82" i="12"/>
  <c r="K82" i="12" s="1"/>
  <c r="I81" i="12"/>
  <c r="K81" i="12" s="1"/>
  <c r="I80" i="12"/>
  <c r="I79" i="12"/>
  <c r="K79" i="12" s="1"/>
  <c r="I78" i="12"/>
  <c r="K78" i="12" s="1"/>
  <c r="J77" i="12"/>
  <c r="J76" i="12"/>
  <c r="J64" i="12" s="1"/>
  <c r="N74" i="12"/>
  <c r="N72" i="12" s="1"/>
  <c r="M74" i="12"/>
  <c r="P74" i="12" s="1"/>
  <c r="L74" i="12"/>
  <c r="P73" i="12"/>
  <c r="O73" i="12"/>
  <c r="N71" i="12"/>
  <c r="N69" i="12" s="1"/>
  <c r="M71" i="12"/>
  <c r="P71" i="12" s="1"/>
  <c r="L71" i="12"/>
  <c r="P70" i="12"/>
  <c r="O70" i="12"/>
  <c r="O67" i="12"/>
  <c r="N67" i="12"/>
  <c r="M67" i="12"/>
  <c r="P67" i="12" s="1"/>
  <c r="L67" i="12"/>
  <c r="J65" i="12"/>
  <c r="N61" i="12"/>
  <c r="M61" i="12"/>
  <c r="P61" i="12" s="1"/>
  <c r="L61" i="12"/>
  <c r="O61" i="12" s="1"/>
  <c r="P60" i="12"/>
  <c r="O60" i="12"/>
  <c r="N58" i="12"/>
  <c r="N56" i="12" s="1"/>
  <c r="M58" i="12"/>
  <c r="M56" i="12" s="1"/>
  <c r="L58" i="12"/>
  <c r="L56" i="12" s="1"/>
  <c r="P57" i="12"/>
  <c r="O57" i="12"/>
  <c r="P54" i="12"/>
  <c r="N54" i="12"/>
  <c r="M54" i="12"/>
  <c r="L54" i="12"/>
  <c r="N49" i="12"/>
  <c r="M49" i="12"/>
  <c r="P49" i="12" s="1"/>
  <c r="L49" i="12"/>
  <c r="P48" i="12"/>
  <c r="O48" i="12"/>
  <c r="N46" i="12"/>
  <c r="M46" i="12"/>
  <c r="M44" i="12" s="1"/>
  <c r="L46" i="12"/>
  <c r="P45" i="12"/>
  <c r="O45" i="12"/>
  <c r="O42" i="12"/>
  <c r="N42" i="12"/>
  <c r="M42" i="12"/>
  <c r="P42" i="12" s="1"/>
  <c r="L42" i="12"/>
  <c r="P36" i="12"/>
  <c r="N36" i="12"/>
  <c r="N34" i="12" s="1"/>
  <c r="M36" i="12"/>
  <c r="O35" i="12"/>
  <c r="N35" i="12"/>
  <c r="M35" i="12"/>
  <c r="L35" i="12"/>
  <c r="N33" i="12"/>
  <c r="M33" i="12"/>
  <c r="P33" i="12" s="1"/>
  <c r="P32" i="12"/>
  <c r="N32" i="12"/>
  <c r="N31" i="12" s="1"/>
  <c r="M32" i="12"/>
  <c r="M31" i="12" s="1"/>
  <c r="P31" i="12" s="1"/>
  <c r="L32" i="12"/>
  <c r="O32" i="12" s="1"/>
  <c r="P25" i="12"/>
  <c r="N25" i="12"/>
  <c r="M25" i="12"/>
  <c r="L25" i="12"/>
  <c r="O25" i="12" s="1"/>
  <c r="O22" i="12"/>
  <c r="N22" i="12"/>
  <c r="M22" i="12"/>
  <c r="L22" i="12"/>
  <c r="N19" i="12"/>
  <c r="L19" i="12"/>
  <c r="O19" i="12" s="1"/>
  <c r="N12" i="12"/>
  <c r="L12" i="12"/>
  <c r="O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M808" i="11"/>
  <c r="P808" i="11" s="1"/>
  <c r="L808" i="11"/>
  <c r="O808" i="11" s="1"/>
  <c r="M807" i="11"/>
  <c r="P807" i="11" s="1"/>
  <c r="L807" i="11"/>
  <c r="O807" i="11" s="1"/>
  <c r="P806" i="11"/>
  <c r="N806" i="11"/>
  <c r="M806" i="11"/>
  <c r="M805" i="11" s="1"/>
  <c r="L806" i="11"/>
  <c r="O806" i="11" s="1"/>
  <c r="P805" i="11"/>
  <c r="K804" i="11"/>
  <c r="J804" i="11"/>
  <c r="K802" i="11"/>
  <c r="J801" i="11"/>
  <c r="J800" i="11"/>
  <c r="J785" i="11" s="1"/>
  <c r="I800" i="11"/>
  <c r="I785" i="11" s="1"/>
  <c r="K785" i="11" s="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L788" i="11" s="1"/>
  <c r="O788" i="11" s="1"/>
  <c r="P790" i="11"/>
  <c r="O790" i="11"/>
  <c r="N789" i="11"/>
  <c r="M789" i="11"/>
  <c r="P789" i="11" s="1"/>
  <c r="M788" i="11"/>
  <c r="P788" i="11" s="1"/>
  <c r="P787" i="11"/>
  <c r="N787" i="11"/>
  <c r="M787" i="11"/>
  <c r="M786" i="11" s="1"/>
  <c r="L787" i="11"/>
  <c r="O787" i="11" s="1"/>
  <c r="P786" i="11"/>
  <c r="P782" i="11"/>
  <c r="O782" i="11"/>
  <c r="P781" i="11"/>
  <c r="O781" i="11"/>
  <c r="P780" i="11"/>
  <c r="O780" i="11"/>
  <c r="N780" i="11"/>
  <c r="M780" i="11"/>
  <c r="L780" i="11"/>
  <c r="P775" i="11"/>
  <c r="O775" i="11"/>
  <c r="N775" i="11"/>
  <c r="P774" i="11"/>
  <c r="O774" i="11"/>
  <c r="O773" i="11"/>
  <c r="N773" i="11"/>
  <c r="M773" i="11"/>
  <c r="P773" i="11" s="1"/>
  <c r="L773" i="11"/>
  <c r="N772" i="11"/>
  <c r="M772" i="11"/>
  <c r="P772" i="11" s="1"/>
  <c r="L772" i="11"/>
  <c r="O772" i="11" s="1"/>
  <c r="N771" i="11"/>
  <c r="N770" i="11" s="1"/>
  <c r="M771" i="11"/>
  <c r="P771" i="11" s="1"/>
  <c r="L771" i="11"/>
  <c r="K769" i="11"/>
  <c r="J769" i="11"/>
  <c r="P766" i="11"/>
  <c r="O766" i="11"/>
  <c r="P765" i="11"/>
  <c r="O765" i="11"/>
  <c r="P764" i="11"/>
  <c r="O764" i="11"/>
  <c r="N764" i="11"/>
  <c r="M764" i="11"/>
  <c r="L764" i="11"/>
  <c r="P759" i="11"/>
  <c r="O759" i="11"/>
  <c r="N759" i="11"/>
  <c r="P758" i="11"/>
  <c r="O758" i="11"/>
  <c r="O757" i="11"/>
  <c r="N757" i="11"/>
  <c r="M757" i="11"/>
  <c r="P757" i="11" s="1"/>
  <c r="L757" i="11"/>
  <c r="N756" i="11"/>
  <c r="M756" i="11"/>
  <c r="P756" i="11" s="1"/>
  <c r="L756" i="11"/>
  <c r="O756" i="11" s="1"/>
  <c r="N755" i="11"/>
  <c r="N754" i="11" s="1"/>
  <c r="M755" i="11"/>
  <c r="P755" i="11" s="1"/>
  <c r="L755" i="11"/>
  <c r="K753" i="11"/>
  <c r="J753" i="11"/>
  <c r="P749" i="11"/>
  <c r="O749" i="11"/>
  <c r="P748" i="11"/>
  <c r="O748" i="11"/>
  <c r="P747" i="11"/>
  <c r="O747" i="11"/>
  <c r="N747" i="11"/>
  <c r="M747" i="11"/>
  <c r="L747" i="11"/>
  <c r="P742" i="11"/>
  <c r="O742" i="11"/>
  <c r="N742" i="11"/>
  <c r="P741" i="11"/>
  <c r="O741" i="11"/>
  <c r="O740" i="11"/>
  <c r="N740" i="11"/>
  <c r="M740" i="11"/>
  <c r="P740" i="11" s="1"/>
  <c r="L740" i="11"/>
  <c r="N739" i="11"/>
  <c r="M739" i="11"/>
  <c r="P739" i="11" s="1"/>
  <c r="L739" i="11"/>
  <c r="O739" i="11" s="1"/>
  <c r="N738" i="11"/>
  <c r="N737" i="11" s="1"/>
  <c r="M738" i="11"/>
  <c r="P738" i="11" s="1"/>
  <c r="L738" i="1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N687" i="11" s="1"/>
  <c r="N685" i="11" s="1"/>
  <c r="L690" i="11"/>
  <c r="L687" i="11" s="1"/>
  <c r="O687" i="11" s="1"/>
  <c r="N688" i="11"/>
  <c r="M688" i="11"/>
  <c r="P688" i="11" s="1"/>
  <c r="M687" i="11"/>
  <c r="P687" i="11" s="1"/>
  <c r="P686" i="11"/>
  <c r="N686" i="11"/>
  <c r="M686" i="11"/>
  <c r="M685" i="11" s="1"/>
  <c r="L686" i="11"/>
  <c r="O686" i="11" s="1"/>
  <c r="P685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5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O660" i="11" s="1"/>
  <c r="P659" i="11"/>
  <c r="O659" i="11"/>
  <c r="P658" i="11"/>
  <c r="N658" i="11"/>
  <c r="M658" i="11"/>
  <c r="P657" i="11"/>
  <c r="N657" i="11"/>
  <c r="M657" i="11"/>
  <c r="O656" i="11"/>
  <c r="N656" i="11"/>
  <c r="N655" i="11" s="1"/>
  <c r="M656" i="11"/>
  <c r="P656" i="11" s="1"/>
  <c r="L656" i="11"/>
  <c r="M655" i="11"/>
  <c r="P655" i="11" s="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P634" i="11"/>
  <c r="N634" i="11"/>
  <c r="N631" i="11" s="1"/>
  <c r="N629" i="11" s="1"/>
  <c r="L634" i="11"/>
  <c r="O634" i="11" s="1"/>
  <c r="P633" i="11"/>
  <c r="O633" i="11"/>
  <c r="N632" i="11"/>
  <c r="M632" i="11"/>
  <c r="P632" i="11" s="1"/>
  <c r="P631" i="11"/>
  <c r="M631" i="11"/>
  <c r="P630" i="11"/>
  <c r="O630" i="11"/>
  <c r="N630" i="11"/>
  <c r="M630" i="11"/>
  <c r="L630" i="11"/>
  <c r="P629" i="11"/>
  <c r="M629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3" i="11" s="1"/>
  <c r="J594" i="11"/>
  <c r="I594" i="11"/>
  <c r="I593" i="11"/>
  <c r="I592" i="11" s="1"/>
  <c r="J583" i="11"/>
  <c r="J582" i="11"/>
  <c r="J577" i="11"/>
  <c r="I577" i="11"/>
  <c r="K577" i="11" s="1"/>
  <c r="J576" i="1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J559" i="11"/>
  <c r="J543" i="11" s="1"/>
  <c r="P557" i="11"/>
  <c r="L557" i="11"/>
  <c r="O557" i="11" s="1"/>
  <c r="P556" i="11"/>
  <c r="O556" i="11"/>
  <c r="P555" i="11"/>
  <c r="N555" i="11"/>
  <c r="M555" i="11"/>
  <c r="P549" i="11"/>
  <c r="N549" i="11"/>
  <c r="L549" i="11"/>
  <c r="L547" i="11" s="1"/>
  <c r="O547" i="11" s="1"/>
  <c r="P548" i="11"/>
  <c r="O548" i="11"/>
  <c r="P547" i="11"/>
  <c r="N547" i="11"/>
  <c r="M547" i="11"/>
  <c r="N546" i="11"/>
  <c r="M546" i="11"/>
  <c r="P546" i="11" s="1"/>
  <c r="N545" i="11"/>
  <c r="M545" i="1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I537" i="11"/>
  <c r="P535" i="11"/>
  <c r="L535" i="11"/>
  <c r="L533" i="11" s="1"/>
  <c r="O533" i="11" s="1"/>
  <c r="P534" i="11"/>
  <c r="O534" i="11"/>
  <c r="N533" i="11"/>
  <c r="M533" i="11"/>
  <c r="P533" i="11" s="1"/>
  <c r="P528" i="11"/>
  <c r="N528" i="11"/>
  <c r="N525" i="11" s="1"/>
  <c r="N523" i="11" s="1"/>
  <c r="L528" i="11"/>
  <c r="P527" i="11"/>
  <c r="O527" i="11"/>
  <c r="N526" i="11"/>
  <c r="M526" i="11"/>
  <c r="P526" i="11" s="1"/>
  <c r="M525" i="11"/>
  <c r="P525" i="11" s="1"/>
  <c r="P524" i="11"/>
  <c r="N524" i="11"/>
  <c r="M524" i="11"/>
  <c r="M523" i="11" s="1"/>
  <c r="L524" i="11"/>
  <c r="O524" i="11" s="1"/>
  <c r="K517" i="11"/>
  <c r="J517" i="1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N505" i="11" s="1"/>
  <c r="P506" i="11"/>
  <c r="O506" i="11"/>
  <c r="P505" i="11"/>
  <c r="M505" i="11"/>
  <c r="L505" i="11"/>
  <c r="O505" i="11" s="1"/>
  <c r="P504" i="11"/>
  <c r="O504" i="11"/>
  <c r="N504" i="11"/>
  <c r="M504" i="11"/>
  <c r="L504" i="11"/>
  <c r="P503" i="11"/>
  <c r="O503" i="11"/>
  <c r="N503" i="11"/>
  <c r="M503" i="11"/>
  <c r="L503" i="11"/>
  <c r="O502" i="11"/>
  <c r="N502" i="11"/>
  <c r="M502" i="11"/>
  <c r="P502" i="11" s="1"/>
  <c r="L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P472" i="11"/>
  <c r="N472" i="11"/>
  <c r="L472" i="11"/>
  <c r="O472" i="11" s="1"/>
  <c r="P471" i="11"/>
  <c r="O471" i="11"/>
  <c r="P470" i="11"/>
  <c r="N470" i="11"/>
  <c r="M470" i="11"/>
  <c r="P469" i="11"/>
  <c r="N469" i="11"/>
  <c r="M469" i="11"/>
  <c r="P468" i="11"/>
  <c r="O468" i="11"/>
  <c r="N468" i="11"/>
  <c r="M468" i="11"/>
  <c r="L468" i="11"/>
  <c r="N467" i="11"/>
  <c r="M467" i="11"/>
  <c r="P467" i="11" s="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I442" i="11" s="1"/>
  <c r="K442" i="11" s="1"/>
  <c r="K458" i="11"/>
  <c r="P456" i="11"/>
  <c r="L456" i="11"/>
  <c r="P455" i="11"/>
  <c r="O455" i="11"/>
  <c r="N454" i="11"/>
  <c r="M454" i="11"/>
  <c r="P454" i="11" s="1"/>
  <c r="P449" i="11"/>
  <c r="N449" i="11"/>
  <c r="N446" i="11" s="1"/>
  <c r="N444" i="11" s="1"/>
  <c r="L449" i="11"/>
  <c r="O449" i="11" s="1"/>
  <c r="P448" i="11"/>
  <c r="O448" i="11"/>
  <c r="N447" i="11"/>
  <c r="M447" i="11"/>
  <c r="P447" i="11" s="1"/>
  <c r="P446" i="11"/>
  <c r="M446" i="11"/>
  <c r="P445" i="11"/>
  <c r="O445" i="11"/>
  <c r="N445" i="11"/>
  <c r="M445" i="11"/>
  <c r="L445" i="11"/>
  <c r="P444" i="11"/>
  <c r="M444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J434" i="11"/>
  <c r="J418" i="11" s="1"/>
  <c r="P431" i="11"/>
  <c r="L431" i="11"/>
  <c r="L429" i="11" s="1"/>
  <c r="O429" i="11" s="1"/>
  <c r="P430" i="11"/>
  <c r="O430" i="11"/>
  <c r="N429" i="11"/>
  <c r="M429" i="11"/>
  <c r="P429" i="11" s="1"/>
  <c r="P424" i="11"/>
  <c r="N424" i="11"/>
  <c r="N421" i="11" s="1"/>
  <c r="N419" i="11" s="1"/>
  <c r="L424" i="11"/>
  <c r="P423" i="11"/>
  <c r="O423" i="11"/>
  <c r="N422" i="11"/>
  <c r="M422" i="11"/>
  <c r="P422" i="11" s="1"/>
  <c r="P421" i="11"/>
  <c r="M421" i="11"/>
  <c r="P420" i="11"/>
  <c r="O420" i="11"/>
  <c r="N420" i="11"/>
  <c r="M420" i="11"/>
  <c r="L420" i="11"/>
  <c r="P419" i="11"/>
  <c r="M419" i="11"/>
  <c r="K413" i="11"/>
  <c r="K412" i="11"/>
  <c r="N410" i="11"/>
  <c r="N408" i="11" s="1"/>
  <c r="M410" i="11"/>
  <c r="M408" i="11" s="1"/>
  <c r="P408" i="11" s="1"/>
  <c r="L410" i="11"/>
  <c r="L408" i="11" s="1"/>
  <c r="O408" i="11" s="1"/>
  <c r="P409" i="11"/>
  <c r="O409" i="11"/>
  <c r="N407" i="11"/>
  <c r="M407" i="11"/>
  <c r="M405" i="11" s="1"/>
  <c r="P405" i="11" s="1"/>
  <c r="L407" i="11"/>
  <c r="L405" i="11" s="1"/>
  <c r="O405" i="11" s="1"/>
  <c r="P406" i="11"/>
  <c r="O406" i="11"/>
  <c r="O403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P397" i="11" s="1"/>
  <c r="L397" i="11"/>
  <c r="P396" i="11"/>
  <c r="O396" i="11"/>
  <c r="N394" i="11"/>
  <c r="N392" i="11" s="1"/>
  <c r="M394" i="11"/>
  <c r="M392" i="11" s="1"/>
  <c r="P392" i="11" s="1"/>
  <c r="L394" i="11"/>
  <c r="P393" i="11"/>
  <c r="O393" i="11"/>
  <c r="P390" i="11"/>
  <c r="O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P352" i="11"/>
  <c r="O352" i="11"/>
  <c r="N350" i="11"/>
  <c r="M350" i="11"/>
  <c r="M348" i="11" s="1"/>
  <c r="L350" i="1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O336" i="11" s="1"/>
  <c r="P335" i="11"/>
  <c r="O335" i="11"/>
  <c r="N333" i="11"/>
  <c r="M333" i="11"/>
  <c r="M331" i="11" s="1"/>
  <c r="L333" i="11"/>
  <c r="P332" i="11"/>
  <c r="O332" i="11"/>
  <c r="P329" i="11"/>
  <c r="O329" i="11"/>
  <c r="N329" i="11"/>
  <c r="M329" i="11"/>
  <c r="L329" i="11"/>
  <c r="I327" i="11"/>
  <c r="I325" i="11"/>
  <c r="K325" i="11" s="1"/>
  <c r="N323" i="11"/>
  <c r="N321" i="11" s="1"/>
  <c r="M323" i="11"/>
  <c r="L323" i="11"/>
  <c r="L321" i="11" s="1"/>
  <c r="O321" i="11" s="1"/>
  <c r="P322" i="11"/>
  <c r="O322" i="11"/>
  <c r="N320" i="11"/>
  <c r="N318" i="11" s="1"/>
  <c r="M320" i="11"/>
  <c r="L320" i="11"/>
  <c r="L318" i="11" s="1"/>
  <c r="O318" i="11" s="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M304" i="11" s="1"/>
  <c r="P304" i="11" s="1"/>
  <c r="L306" i="11"/>
  <c r="L304" i="11" s="1"/>
  <c r="O304" i="11" s="1"/>
  <c r="P305" i="11"/>
  <c r="O305" i="11"/>
  <c r="N303" i="11"/>
  <c r="M303" i="11"/>
  <c r="M301" i="11" s="1"/>
  <c r="P301" i="11" s="1"/>
  <c r="L303" i="11"/>
  <c r="L301" i="11" s="1"/>
  <c r="O301" i="11" s="1"/>
  <c r="P302" i="11"/>
  <c r="O302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M283" i="11" s="1"/>
  <c r="P283" i="11" s="1"/>
  <c r="L285" i="11"/>
  <c r="P284" i="11"/>
  <c r="O284" i="11"/>
  <c r="N282" i="11"/>
  <c r="N280" i="11" s="1"/>
  <c r="M282" i="11"/>
  <c r="M280" i="11" s="1"/>
  <c r="P280" i="11" s="1"/>
  <c r="L282" i="11"/>
  <c r="O282" i="11" s="1"/>
  <c r="P281" i="11"/>
  <c r="O281" i="11"/>
  <c r="O278" i="11"/>
  <c r="N278" i="11"/>
  <c r="M278" i="11"/>
  <c r="L278" i="11"/>
  <c r="J276" i="11"/>
  <c r="I271" i="11"/>
  <c r="N269" i="11"/>
  <c r="N267" i="11" s="1"/>
  <c r="M269" i="11"/>
  <c r="M267" i="11" s="1"/>
  <c r="P267" i="11" s="1"/>
  <c r="L269" i="11"/>
  <c r="O269" i="11" s="1"/>
  <c r="P268" i="11"/>
  <c r="O268" i="11"/>
  <c r="N266" i="11"/>
  <c r="N264" i="11" s="1"/>
  <c r="M266" i="11"/>
  <c r="M264" i="11" s="1"/>
  <c r="L266" i="11"/>
  <c r="L264" i="11" s="1"/>
  <c r="P265" i="11"/>
  <c r="O265" i="11"/>
  <c r="O262" i="11"/>
  <c r="N262" i="11"/>
  <c r="M262" i="11"/>
  <c r="L262" i="11"/>
  <c r="J260" i="11"/>
  <c r="K258" i="11"/>
  <c r="K257" i="1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J237" i="11"/>
  <c r="J236" i="11"/>
  <c r="I236" i="11"/>
  <c r="K236" i="11" s="1"/>
  <c r="K235" i="11"/>
  <c r="J235" i="11"/>
  <c r="I235" i="11"/>
  <c r="J233" i="11"/>
  <c r="N231" i="11"/>
  <c r="N230" i="11"/>
  <c r="N229" i="11"/>
  <c r="N228" i="11"/>
  <c r="I225" i="11"/>
  <c r="K225" i="11" s="1"/>
  <c r="I224" i="11"/>
  <c r="I216" i="11" s="1"/>
  <c r="K216" i="11" s="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N184" i="11" s="1"/>
  <c r="M186" i="11"/>
  <c r="M184" i="11" s="1"/>
  <c r="L186" i="11"/>
  <c r="L184" i="11" s="1"/>
  <c r="P185" i="11"/>
  <c r="O185" i="11"/>
  <c r="P182" i="11"/>
  <c r="O182" i="11"/>
  <c r="N182" i="11"/>
  <c r="M182" i="11"/>
  <c r="L182" i="11"/>
  <c r="J177" i="11"/>
  <c r="I176" i="11"/>
  <c r="K176" i="11" s="1"/>
  <c r="J174" i="11"/>
  <c r="N173" i="11"/>
  <c r="N171" i="11" s="1"/>
  <c r="M173" i="11"/>
  <c r="P173" i="11" s="1"/>
  <c r="L173" i="11"/>
  <c r="L171" i="11" s="1"/>
  <c r="O171" i="11" s="1"/>
  <c r="P172" i="11"/>
  <c r="O172" i="11"/>
  <c r="N170" i="11"/>
  <c r="M170" i="11"/>
  <c r="M168" i="11" s="1"/>
  <c r="L170" i="11"/>
  <c r="L168" i="11" s="1"/>
  <c r="P169" i="11"/>
  <c r="O169" i="11"/>
  <c r="O166" i="11"/>
  <c r="N166" i="11"/>
  <c r="M166" i="11"/>
  <c r="P166" i="11" s="1"/>
  <c r="L166" i="11"/>
  <c r="J164" i="11"/>
  <c r="I159" i="11"/>
  <c r="K159" i="11" s="1"/>
  <c r="N157" i="11"/>
  <c r="N155" i="11" s="1"/>
  <c r="M157" i="11"/>
  <c r="P157" i="11" s="1"/>
  <c r="L157" i="11"/>
  <c r="O157" i="11" s="1"/>
  <c r="P156" i="11"/>
  <c r="O156" i="11"/>
  <c r="N154" i="11"/>
  <c r="N152" i="11" s="1"/>
  <c r="M154" i="11"/>
  <c r="P154" i="11" s="1"/>
  <c r="L154" i="11"/>
  <c r="O154" i="11" s="1"/>
  <c r="P153" i="11"/>
  <c r="O153" i="11"/>
  <c r="P150" i="11"/>
  <c r="O150" i="11"/>
  <c r="N150" i="11"/>
  <c r="M150" i="11"/>
  <c r="L150" i="11"/>
  <c r="J148" i="11"/>
  <c r="I146" i="11"/>
  <c r="K146" i="11" s="1"/>
  <c r="I145" i="11"/>
  <c r="I143" i="11" s="1"/>
  <c r="I144" i="11"/>
  <c r="N140" i="11"/>
  <c r="N138" i="11" s="1"/>
  <c r="M140" i="11"/>
  <c r="M138" i="11" s="1"/>
  <c r="P138" i="11" s="1"/>
  <c r="L140" i="11"/>
  <c r="O140" i="11" s="1"/>
  <c r="P139" i="11"/>
  <c r="O139" i="11"/>
  <c r="N137" i="11"/>
  <c r="M137" i="11"/>
  <c r="M135" i="11" s="1"/>
  <c r="P135" i="11" s="1"/>
  <c r="L137" i="11"/>
  <c r="O137" i="11" s="1"/>
  <c r="P136" i="11"/>
  <c r="O136" i="11"/>
  <c r="O133" i="11"/>
  <c r="N133" i="11"/>
  <c r="M133" i="11"/>
  <c r="L133" i="11"/>
  <c r="J130" i="11"/>
  <c r="N127" i="11"/>
  <c r="N125" i="11" s="1"/>
  <c r="M127" i="11"/>
  <c r="M125" i="11" s="1"/>
  <c r="P125" i="11" s="1"/>
  <c r="L127" i="11"/>
  <c r="O127" i="11" s="1"/>
  <c r="P126" i="11"/>
  <c r="O126" i="11"/>
  <c r="N124" i="11"/>
  <c r="N122" i="11" s="1"/>
  <c r="M124" i="11"/>
  <c r="L124" i="11"/>
  <c r="O124" i="11" s="1"/>
  <c r="P123" i="11"/>
  <c r="O123" i="11"/>
  <c r="P120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I87" i="11" s="1"/>
  <c r="J98" i="11"/>
  <c r="I98" i="11"/>
  <c r="N96" i="11"/>
  <c r="N94" i="11" s="1"/>
  <c r="M96" i="11"/>
  <c r="L96" i="11"/>
  <c r="O96" i="11" s="1"/>
  <c r="P95" i="11"/>
  <c r="O95" i="11"/>
  <c r="N93" i="11"/>
  <c r="M93" i="11"/>
  <c r="M91" i="11" s="1"/>
  <c r="L93" i="11"/>
  <c r="L91" i="11" s="1"/>
  <c r="P92" i="11"/>
  <c r="O92" i="11"/>
  <c r="P89" i="11"/>
  <c r="O89" i="11"/>
  <c r="N89" i="11"/>
  <c r="M89" i="11"/>
  <c r="L89" i="11"/>
  <c r="J87" i="11"/>
  <c r="J86" i="11"/>
  <c r="I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65" i="11" s="1"/>
  <c r="J76" i="11"/>
  <c r="N74" i="11"/>
  <c r="N72" i="11" s="1"/>
  <c r="M74" i="11"/>
  <c r="M72" i="11" s="1"/>
  <c r="P72" i="11" s="1"/>
  <c r="L74" i="11"/>
  <c r="O74" i="11" s="1"/>
  <c r="P73" i="11"/>
  <c r="O73" i="11"/>
  <c r="N71" i="11"/>
  <c r="N69" i="11" s="1"/>
  <c r="M71" i="11"/>
  <c r="P71" i="11" s="1"/>
  <c r="L71" i="11"/>
  <c r="O71" i="11" s="1"/>
  <c r="P70" i="11"/>
  <c r="O70" i="11"/>
  <c r="P67" i="11"/>
  <c r="O67" i="11"/>
  <c r="N67" i="11"/>
  <c r="M67" i="11"/>
  <c r="L67" i="11"/>
  <c r="J64" i="11"/>
  <c r="N61" i="11"/>
  <c r="N59" i="11" s="1"/>
  <c r="M61" i="11"/>
  <c r="L61" i="11"/>
  <c r="L59" i="11" s="1"/>
  <c r="P60" i="11"/>
  <c r="O60" i="11"/>
  <c r="N58" i="11"/>
  <c r="M58" i="11"/>
  <c r="M56" i="11" s="1"/>
  <c r="L58" i="11"/>
  <c r="P57" i="11"/>
  <c r="O57" i="11"/>
  <c r="N54" i="11"/>
  <c r="M54" i="11"/>
  <c r="L54" i="11"/>
  <c r="O54" i="11" s="1"/>
  <c r="N49" i="11"/>
  <c r="M49" i="11"/>
  <c r="P49" i="11" s="1"/>
  <c r="L49" i="11"/>
  <c r="L47" i="11" s="1"/>
  <c r="O47" i="11" s="1"/>
  <c r="P48" i="11"/>
  <c r="O48" i="11"/>
  <c r="N46" i="11"/>
  <c r="N44" i="11" s="1"/>
  <c r="M46" i="11"/>
  <c r="L46" i="11"/>
  <c r="P45" i="11"/>
  <c r="O45" i="11"/>
  <c r="P42" i="11"/>
  <c r="N42" i="11"/>
  <c r="M42" i="11"/>
  <c r="L42" i="11"/>
  <c r="O42" i="11" s="1"/>
  <c r="N36" i="11"/>
  <c r="M36" i="11"/>
  <c r="P36" i="11" s="1"/>
  <c r="P35" i="11"/>
  <c r="N35" i="11"/>
  <c r="N34" i="11" s="1"/>
  <c r="M35" i="11"/>
  <c r="L35" i="11"/>
  <c r="P34" i="11"/>
  <c r="M34" i="11"/>
  <c r="N33" i="11"/>
  <c r="N30" i="11" s="1"/>
  <c r="M33" i="11"/>
  <c r="M30" i="11" s="1"/>
  <c r="P30" i="11" s="1"/>
  <c r="N32" i="11"/>
  <c r="M32" i="11"/>
  <c r="L32" i="11"/>
  <c r="O32" i="11" s="1"/>
  <c r="M31" i="11"/>
  <c r="P31" i="11" s="1"/>
  <c r="L29" i="11"/>
  <c r="N25" i="11"/>
  <c r="N15" i="11" s="1"/>
  <c r="M25" i="11"/>
  <c r="L25" i="11"/>
  <c r="L19" i="11" s="1"/>
  <c r="P22" i="11"/>
  <c r="O22" i="11"/>
  <c r="N22" i="11"/>
  <c r="M22" i="11"/>
  <c r="L22" i="11"/>
  <c r="M15" i="11"/>
  <c r="M9" i="11" s="1"/>
  <c r="P12" i="11"/>
  <c r="M12" i="11"/>
  <c r="L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P817" i="10"/>
  <c r="O817" i="10"/>
  <c r="P816" i="10"/>
  <c r="O816" i="10"/>
  <c r="O815" i="10"/>
  <c r="N815" i="10"/>
  <c r="M815" i="10"/>
  <c r="P815" i="10" s="1"/>
  <c r="L815" i="10"/>
  <c r="P810" i="10"/>
  <c r="O810" i="10"/>
  <c r="N810" i="10"/>
  <c r="P809" i="10"/>
  <c r="O809" i="10"/>
  <c r="O808" i="10"/>
  <c r="M808" i="10"/>
  <c r="P808" i="10" s="1"/>
  <c r="L808" i="10"/>
  <c r="P807" i="10"/>
  <c r="M807" i="10"/>
  <c r="L807" i="10"/>
  <c r="O806" i="10"/>
  <c r="N806" i="10"/>
  <c r="M806" i="10"/>
  <c r="P806" i="10" s="1"/>
  <c r="L806" i="10"/>
  <c r="K804" i="10"/>
  <c r="J804" i="10"/>
  <c r="K802" i="10"/>
  <c r="J801" i="10"/>
  <c r="J800" i="10"/>
  <c r="J785" i="10" s="1"/>
  <c r="I800" i="10"/>
  <c r="K800" i="10" s="1"/>
  <c r="P798" i="10"/>
  <c r="O798" i="10"/>
  <c r="P797" i="10"/>
  <c r="O797" i="10"/>
  <c r="P796" i="10"/>
  <c r="N796" i="10"/>
  <c r="M796" i="10"/>
  <c r="L796" i="10"/>
  <c r="O796" i="10" s="1"/>
  <c r="P791" i="10"/>
  <c r="N791" i="10"/>
  <c r="L791" i="10"/>
  <c r="L788" i="10" s="1"/>
  <c r="P790" i="10"/>
  <c r="O790" i="10"/>
  <c r="N789" i="10"/>
  <c r="M789" i="10"/>
  <c r="P789" i="10" s="1"/>
  <c r="P788" i="10"/>
  <c r="N788" i="10"/>
  <c r="M788" i="10"/>
  <c r="O787" i="10"/>
  <c r="N787" i="10"/>
  <c r="N786" i="10" s="1"/>
  <c r="M787" i="10"/>
  <c r="P787" i="10" s="1"/>
  <c r="L787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N772" i="10" s="1"/>
  <c r="P774" i="10"/>
  <c r="O774" i="10"/>
  <c r="P773" i="10"/>
  <c r="N773" i="10"/>
  <c r="M773" i="10"/>
  <c r="L773" i="10"/>
  <c r="O773" i="10" s="1"/>
  <c r="O772" i="10"/>
  <c r="M772" i="10"/>
  <c r="L772" i="10"/>
  <c r="P771" i="10"/>
  <c r="N771" i="10"/>
  <c r="M771" i="10"/>
  <c r="L771" i="10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N756" i="10" s="1"/>
  <c r="P758" i="10"/>
  <c r="O758" i="10"/>
  <c r="P757" i="10"/>
  <c r="N757" i="10"/>
  <c r="M757" i="10"/>
  <c r="L757" i="10"/>
  <c r="O757" i="10" s="1"/>
  <c r="O756" i="10"/>
  <c r="M756" i="10"/>
  <c r="L756" i="10"/>
  <c r="P755" i="10"/>
  <c r="N755" i="10"/>
  <c r="N754" i="10" s="1"/>
  <c r="M755" i="10"/>
  <c r="L755" i="10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N739" i="10" s="1"/>
  <c r="P741" i="10"/>
  <c r="O741" i="10"/>
  <c r="P740" i="10"/>
  <c r="N740" i="10"/>
  <c r="M740" i="10"/>
  <c r="L740" i="10"/>
  <c r="O740" i="10" s="1"/>
  <c r="O739" i="10"/>
  <c r="M739" i="10"/>
  <c r="L739" i="10"/>
  <c r="P738" i="10"/>
  <c r="N738" i="10"/>
  <c r="N737" i="10" s="1"/>
  <c r="M738" i="10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N688" i="10" s="1"/>
  <c r="L690" i="10"/>
  <c r="L688" i="10" s="1"/>
  <c r="O688" i="10" s="1"/>
  <c r="M688" i="10"/>
  <c r="P688" i="10" s="1"/>
  <c r="P687" i="10"/>
  <c r="N687" i="10"/>
  <c r="M687" i="10"/>
  <c r="O686" i="10"/>
  <c r="N686" i="10"/>
  <c r="N685" i="10" s="1"/>
  <c r="M686" i="10"/>
  <c r="P686" i="10" s="1"/>
  <c r="L686" i="10"/>
  <c r="J679" i="10"/>
  <c r="J678" i="10"/>
  <c r="I678" i="10"/>
  <c r="K678" i="10" s="1"/>
  <c r="J675" i="10"/>
  <c r="J669" i="10" s="1"/>
  <c r="J654" i="10" s="1"/>
  <c r="I671" i="10"/>
  <c r="K671" i="10" s="1"/>
  <c r="I670" i="10"/>
  <c r="K670" i="10" s="1"/>
  <c r="I669" i="10"/>
  <c r="P667" i="10"/>
  <c r="O667" i="10"/>
  <c r="P666" i="10"/>
  <c r="O666" i="10"/>
  <c r="O665" i="10"/>
  <c r="N665" i="10"/>
  <c r="M665" i="10"/>
  <c r="P665" i="10" s="1"/>
  <c r="L665" i="10"/>
  <c r="P660" i="10"/>
  <c r="N660" i="10"/>
  <c r="L660" i="10"/>
  <c r="O660" i="10" s="1"/>
  <c r="P659" i="10"/>
  <c r="O659" i="10"/>
  <c r="P658" i="10"/>
  <c r="N658" i="10"/>
  <c r="M658" i="10"/>
  <c r="N657" i="10"/>
  <c r="M657" i="10"/>
  <c r="P657" i="10" s="1"/>
  <c r="P656" i="10"/>
  <c r="N656" i="10"/>
  <c r="N655" i="10" s="1"/>
  <c r="M656" i="10"/>
  <c r="L656" i="10"/>
  <c r="O656" i="10" s="1"/>
  <c r="M655" i="10"/>
  <c r="P655" i="10" s="1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N631" i="10" s="1"/>
  <c r="N629" i="10" s="1"/>
  <c r="L634" i="10"/>
  <c r="O634" i="10" s="1"/>
  <c r="P633" i="10"/>
  <c r="O633" i="10"/>
  <c r="P632" i="10"/>
  <c r="N632" i="10"/>
  <c r="M632" i="10"/>
  <c r="M631" i="10"/>
  <c r="P631" i="10" s="1"/>
  <c r="P630" i="10"/>
  <c r="N630" i="10"/>
  <c r="M630" i="10"/>
  <c r="M629" i="10" s="1"/>
  <c r="P629" i="10" s="1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I592" i="10" s="1"/>
  <c r="K592" i="10" s="1"/>
  <c r="J583" i="10"/>
  <c r="J577" i="10" s="1"/>
  <c r="J582" i="10"/>
  <c r="J576" i="10" s="1"/>
  <c r="J559" i="10" s="1"/>
  <c r="J543" i="10" s="1"/>
  <c r="I577" i="10"/>
  <c r="K577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P555" i="10"/>
  <c r="N555" i="10"/>
  <c r="N545" i="10" s="1"/>
  <c r="M555" i="10"/>
  <c r="P549" i="10"/>
  <c r="N549" i="10"/>
  <c r="L549" i="10"/>
  <c r="L547" i="10" s="1"/>
  <c r="O547" i="10" s="1"/>
  <c r="P548" i="10"/>
  <c r="O548" i="10"/>
  <c r="N547" i="10"/>
  <c r="M547" i="10"/>
  <c r="P547" i="10" s="1"/>
  <c r="P546" i="10"/>
  <c r="N546" i="10"/>
  <c r="M546" i="10"/>
  <c r="O545" i="10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O535" i="10" s="1"/>
  <c r="P534" i="10"/>
  <c r="O534" i="10"/>
  <c r="P533" i="10"/>
  <c r="N533" i="10"/>
  <c r="M533" i="10"/>
  <c r="P528" i="10"/>
  <c r="N528" i="10"/>
  <c r="L528" i="10"/>
  <c r="P527" i="10"/>
  <c r="O527" i="10"/>
  <c r="N526" i="10"/>
  <c r="M526" i="10"/>
  <c r="P526" i="10" s="1"/>
  <c r="P525" i="10"/>
  <c r="N525" i="10"/>
  <c r="M525" i="10"/>
  <c r="O524" i="10"/>
  <c r="N524" i="10"/>
  <c r="N523" i="10" s="1"/>
  <c r="M524" i="10"/>
  <c r="P524" i="10" s="1"/>
  <c r="L524" i="10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4" i="10" s="1"/>
  <c r="N502" i="10" s="1"/>
  <c r="P506" i="10"/>
  <c r="O506" i="10"/>
  <c r="O505" i="10"/>
  <c r="M505" i="10"/>
  <c r="P505" i="10" s="1"/>
  <c r="L505" i="10"/>
  <c r="P504" i="10"/>
  <c r="M504" i="10"/>
  <c r="M502" i="10" s="1"/>
  <c r="L504" i="10"/>
  <c r="O504" i="10" s="1"/>
  <c r="O503" i="10"/>
  <c r="N503" i="10"/>
  <c r="M503" i="10"/>
  <c r="P503" i="10" s="1"/>
  <c r="L503" i="10"/>
  <c r="L502" i="10" s="1"/>
  <c r="O502" i="10" s="1"/>
  <c r="P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P472" i="10"/>
  <c r="N472" i="10"/>
  <c r="N469" i="10" s="1"/>
  <c r="L472" i="10"/>
  <c r="P471" i="10"/>
  <c r="O471" i="10"/>
  <c r="N470" i="10"/>
  <c r="M470" i="10"/>
  <c r="P470" i="10" s="1"/>
  <c r="M469" i="10"/>
  <c r="M467" i="10" s="1"/>
  <c r="O468" i="10"/>
  <c r="N468" i="10"/>
  <c r="M468" i="10"/>
  <c r="P468" i="10" s="1"/>
  <c r="L468" i="10"/>
  <c r="P467" i="10"/>
  <c r="N467" i="10"/>
  <c r="J466" i="10"/>
  <c r="I466" i="10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P455" i="10"/>
  <c r="O455" i="10"/>
  <c r="N454" i="10"/>
  <c r="M454" i="10"/>
  <c r="P454" i="10" s="1"/>
  <c r="P449" i="10"/>
  <c r="N449" i="10"/>
  <c r="L449" i="10"/>
  <c r="P448" i="10"/>
  <c r="O448" i="10"/>
  <c r="P447" i="10"/>
  <c r="N447" i="10"/>
  <c r="M447" i="10"/>
  <c r="L447" i="10"/>
  <c r="O447" i="10" s="1"/>
  <c r="N446" i="10"/>
  <c r="N444" i="10" s="1"/>
  <c r="M446" i="10"/>
  <c r="P446" i="10" s="1"/>
  <c r="N445" i="10"/>
  <c r="M445" i="10"/>
  <c r="L445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P430" i="10"/>
  <c r="O430" i="10"/>
  <c r="P429" i="10"/>
  <c r="N429" i="10"/>
  <c r="M429" i="10"/>
  <c r="P424" i="10"/>
  <c r="N424" i="10"/>
  <c r="N421" i="10" s="1"/>
  <c r="N419" i="10" s="1"/>
  <c r="L424" i="10"/>
  <c r="L422" i="10" s="1"/>
  <c r="O422" i="10" s="1"/>
  <c r="P423" i="10"/>
  <c r="O423" i="10"/>
  <c r="P422" i="10"/>
  <c r="N422" i="10"/>
  <c r="M422" i="10"/>
  <c r="M421" i="10"/>
  <c r="P421" i="10" s="1"/>
  <c r="P420" i="10"/>
  <c r="N420" i="10"/>
  <c r="M420" i="10"/>
  <c r="L420" i="10"/>
  <c r="O420" i="10" s="1"/>
  <c r="J418" i="10"/>
  <c r="K413" i="10"/>
  <c r="K412" i="10"/>
  <c r="N410" i="10"/>
  <c r="N408" i="10" s="1"/>
  <c r="M410" i="10"/>
  <c r="P410" i="10" s="1"/>
  <c r="L410" i="10"/>
  <c r="L408" i="10" s="1"/>
  <c r="O408" i="10" s="1"/>
  <c r="P409" i="10"/>
  <c r="O409" i="10"/>
  <c r="N407" i="10"/>
  <c r="M407" i="10"/>
  <c r="P407" i="10" s="1"/>
  <c r="L407" i="10"/>
  <c r="O407" i="10" s="1"/>
  <c r="P406" i="10"/>
  <c r="O406" i="10"/>
  <c r="N403" i="10"/>
  <c r="M403" i="10"/>
  <c r="L403" i="10"/>
  <c r="O403" i="10" s="1"/>
  <c r="K401" i="10"/>
  <c r="J401" i="10"/>
  <c r="I401" i="10"/>
  <c r="K400" i="10"/>
  <c r="K399" i="10"/>
  <c r="N397" i="10"/>
  <c r="N395" i="10" s="1"/>
  <c r="M397" i="10"/>
  <c r="M395" i="10" s="1"/>
  <c r="P395" i="10" s="1"/>
  <c r="L397" i="10"/>
  <c r="O397" i="10" s="1"/>
  <c r="P396" i="10"/>
  <c r="O396" i="10"/>
  <c r="N394" i="10"/>
  <c r="N392" i="10" s="1"/>
  <c r="M394" i="10"/>
  <c r="M392" i="10" s="1"/>
  <c r="P392" i="10" s="1"/>
  <c r="L394" i="10"/>
  <c r="O394" i="10" s="1"/>
  <c r="P393" i="10"/>
  <c r="O393" i="10"/>
  <c r="N390" i="10"/>
  <c r="M390" i="10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P352" i="10"/>
  <c r="O352" i="10"/>
  <c r="N350" i="10"/>
  <c r="M350" i="10"/>
  <c r="L350" i="10"/>
  <c r="L348" i="10" s="1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O336" i="10" s="1"/>
  <c r="P335" i="10"/>
  <c r="O335" i="10"/>
  <c r="N333" i="10"/>
  <c r="N331" i="10" s="1"/>
  <c r="M333" i="10"/>
  <c r="M331" i="10" s="1"/>
  <c r="L333" i="10"/>
  <c r="L331" i="10" s="1"/>
  <c r="P332" i="10"/>
  <c r="O332" i="10"/>
  <c r="P329" i="10"/>
  <c r="N329" i="10"/>
  <c r="M329" i="10"/>
  <c r="L329" i="10"/>
  <c r="O329" i="10" s="1"/>
  <c r="I327" i="10"/>
  <c r="I325" i="10"/>
  <c r="K325" i="10" s="1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L320" i="10"/>
  <c r="O320" i="10" s="1"/>
  <c r="P319" i="10"/>
  <c r="O319" i="10"/>
  <c r="P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M306" i="10"/>
  <c r="L306" i="10"/>
  <c r="O306" i="10" s="1"/>
  <c r="P305" i="10"/>
  <c r="O305" i="10"/>
  <c r="N303" i="10"/>
  <c r="N301" i="10" s="1"/>
  <c r="M303" i="10"/>
  <c r="L303" i="10"/>
  <c r="L301" i="10" s="1"/>
  <c r="O301" i="10" s="1"/>
  <c r="P302" i="10"/>
  <c r="O302" i="10"/>
  <c r="N299" i="10"/>
  <c r="M299" i="10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I276" i="10" s="1"/>
  <c r="K276" i="10" s="1"/>
  <c r="N285" i="10"/>
  <c r="N283" i="10" s="1"/>
  <c r="M285" i="10"/>
  <c r="M283" i="10" s="1"/>
  <c r="P283" i="10" s="1"/>
  <c r="L285" i="10"/>
  <c r="L283" i="10" s="1"/>
  <c r="O283" i="10" s="1"/>
  <c r="P284" i="10"/>
  <c r="O284" i="10"/>
  <c r="N282" i="10"/>
  <c r="M282" i="10"/>
  <c r="P282" i="10" s="1"/>
  <c r="L282" i="10"/>
  <c r="P281" i="10"/>
  <c r="O281" i="10"/>
  <c r="P278" i="10"/>
  <c r="O278" i="10"/>
  <c r="N278" i="10"/>
  <c r="M278" i="10"/>
  <c r="L278" i="10"/>
  <c r="J276" i="10"/>
  <c r="I271" i="10"/>
  <c r="K271" i="10" s="1"/>
  <c r="N269" i="10"/>
  <c r="N267" i="10" s="1"/>
  <c r="M269" i="10"/>
  <c r="P269" i="10" s="1"/>
  <c r="L269" i="10"/>
  <c r="P268" i="10"/>
  <c r="O268" i="10"/>
  <c r="N266" i="10"/>
  <c r="N264" i="10" s="1"/>
  <c r="M266" i="10"/>
  <c r="L266" i="10"/>
  <c r="L264" i="10" s="1"/>
  <c r="P265" i="10"/>
  <c r="O265" i="10"/>
  <c r="O262" i="10"/>
  <c r="N262" i="10"/>
  <c r="M262" i="10"/>
  <c r="P262" i="10" s="1"/>
  <c r="L262" i="10"/>
  <c r="J260" i="10"/>
  <c r="K258" i="10"/>
  <c r="K257" i="10"/>
  <c r="K255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I225" i="10"/>
  <c r="K225" i="10" s="1"/>
  <c r="I224" i="10"/>
  <c r="I216" i="10" s="1"/>
  <c r="K216" i="10" s="1"/>
  <c r="I223" i="10"/>
  <c r="K223" i="10" s="1"/>
  <c r="L220" i="10"/>
  <c r="L219" i="10"/>
  <c r="L218" i="10"/>
  <c r="P217" i="10"/>
  <c r="N217" i="10"/>
  <c r="J216" i="10"/>
  <c r="I215" i="10"/>
  <c r="I208" i="10" s="1"/>
  <c r="K208" i="10" s="1"/>
  <c r="I214" i="10"/>
  <c r="K214" i="10" s="1"/>
  <c r="L212" i="10"/>
  <c r="L211" i="10"/>
  <c r="L210" i="10"/>
  <c r="P209" i="10"/>
  <c r="N209" i="10"/>
  <c r="J208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P191" i="10"/>
  <c r="L191" i="10"/>
  <c r="O191" i="10" s="1"/>
  <c r="J190" i="10"/>
  <c r="N189" i="10"/>
  <c r="N187" i="10" s="1"/>
  <c r="M189" i="10"/>
  <c r="L189" i="10"/>
  <c r="O189" i="10" s="1"/>
  <c r="P188" i="10"/>
  <c r="O188" i="10"/>
  <c r="N186" i="10"/>
  <c r="N184" i="10" s="1"/>
  <c r="M186" i="10"/>
  <c r="M184" i="10" s="1"/>
  <c r="L186" i="10"/>
  <c r="L184" i="10" s="1"/>
  <c r="P185" i="10"/>
  <c r="O185" i="10"/>
  <c r="O182" i="10"/>
  <c r="N182" i="10"/>
  <c r="M182" i="10"/>
  <c r="L182" i="10"/>
  <c r="J177" i="10"/>
  <c r="I176" i="10"/>
  <c r="K176" i="10" s="1"/>
  <c r="J174" i="10"/>
  <c r="N173" i="10"/>
  <c r="N171" i="10" s="1"/>
  <c r="M173" i="10"/>
  <c r="P173" i="10" s="1"/>
  <c r="L173" i="10"/>
  <c r="O173" i="10" s="1"/>
  <c r="P172" i="10"/>
  <c r="O172" i="10"/>
  <c r="N170" i="10"/>
  <c r="M170" i="10"/>
  <c r="L170" i="10"/>
  <c r="P169" i="10"/>
  <c r="O169" i="10"/>
  <c r="O166" i="10"/>
  <c r="N166" i="10"/>
  <c r="M166" i="10"/>
  <c r="L166" i="10"/>
  <c r="J164" i="10"/>
  <c r="I159" i="10"/>
  <c r="N157" i="10"/>
  <c r="M157" i="10"/>
  <c r="P157" i="10" s="1"/>
  <c r="L157" i="10"/>
  <c r="P156" i="10"/>
  <c r="O156" i="10"/>
  <c r="N154" i="10"/>
  <c r="N152" i="10" s="1"/>
  <c r="M154" i="10"/>
  <c r="L154" i="10"/>
  <c r="P153" i="10"/>
  <c r="O153" i="10"/>
  <c r="N150" i="10"/>
  <c r="M150" i="10"/>
  <c r="L150" i="10"/>
  <c r="J148" i="10"/>
  <c r="I146" i="10"/>
  <c r="K146" i="10" s="1"/>
  <c r="I145" i="10"/>
  <c r="I144" i="10"/>
  <c r="K144" i="10" s="1"/>
  <c r="N140" i="10"/>
  <c r="N138" i="10" s="1"/>
  <c r="M140" i="10"/>
  <c r="L140" i="10"/>
  <c r="O140" i="10" s="1"/>
  <c r="P139" i="10"/>
  <c r="O139" i="10"/>
  <c r="N137" i="10"/>
  <c r="M137" i="10"/>
  <c r="L137" i="10"/>
  <c r="P136" i="10"/>
  <c r="O136" i="10"/>
  <c r="P133" i="10"/>
  <c r="N133" i="10"/>
  <c r="M133" i="10"/>
  <c r="L133" i="10"/>
  <c r="J130" i="10"/>
  <c r="N127" i="10"/>
  <c r="N125" i="10" s="1"/>
  <c r="M127" i="10"/>
  <c r="L127" i="10"/>
  <c r="P126" i="10"/>
  <c r="O126" i="10"/>
  <c r="N124" i="10"/>
  <c r="N122" i="10" s="1"/>
  <c r="M124" i="10"/>
  <c r="L124" i="10"/>
  <c r="P123" i="10"/>
  <c r="O123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I98" i="10"/>
  <c r="K98" i="10" s="1"/>
  <c r="N96" i="10"/>
  <c r="M96" i="10"/>
  <c r="L96" i="10"/>
  <c r="O96" i="10" s="1"/>
  <c r="P95" i="10"/>
  <c r="O95" i="10"/>
  <c r="N93" i="10"/>
  <c r="M93" i="10"/>
  <c r="L93" i="10"/>
  <c r="P92" i="10"/>
  <c r="O92" i="10"/>
  <c r="P89" i="10"/>
  <c r="O89" i="10"/>
  <c r="N89" i="10"/>
  <c r="M89" i="10"/>
  <c r="L89" i="10"/>
  <c r="J87" i="10"/>
  <c r="J86" i="10"/>
  <c r="I86" i="10"/>
  <c r="K86" i="10" s="1"/>
  <c r="I84" i="10"/>
  <c r="K84" i="10" s="1"/>
  <c r="I83" i="10"/>
  <c r="K83" i="10" s="1"/>
  <c r="I82" i="10"/>
  <c r="K82" i="10" s="1"/>
  <c r="I81" i="10"/>
  <c r="I80" i="10"/>
  <c r="K80" i="10" s="1"/>
  <c r="I79" i="10"/>
  <c r="K79" i="10" s="1"/>
  <c r="I78" i="10"/>
  <c r="J77" i="10"/>
  <c r="J76" i="10"/>
  <c r="J64" i="10" s="1"/>
  <c r="N74" i="10"/>
  <c r="N72" i="10" s="1"/>
  <c r="M74" i="10"/>
  <c r="P74" i="10" s="1"/>
  <c r="L74" i="10"/>
  <c r="P73" i="10"/>
  <c r="O73" i="10"/>
  <c r="N71" i="10"/>
  <c r="N69" i="10" s="1"/>
  <c r="M71" i="10"/>
  <c r="M69" i="10" s="1"/>
  <c r="P69" i="10" s="1"/>
  <c r="L71" i="10"/>
  <c r="L69" i="10" s="1"/>
  <c r="O69" i="10" s="1"/>
  <c r="P70" i="10"/>
  <c r="O70" i="10"/>
  <c r="P67" i="10"/>
  <c r="O67" i="10"/>
  <c r="N67" i="10"/>
  <c r="M67" i="10"/>
  <c r="L67" i="10"/>
  <c r="J65" i="10"/>
  <c r="N61" i="10"/>
  <c r="N59" i="10" s="1"/>
  <c r="M61" i="10"/>
  <c r="P61" i="10" s="1"/>
  <c r="L61" i="10"/>
  <c r="L59" i="10" s="1"/>
  <c r="O59" i="10" s="1"/>
  <c r="P60" i="10"/>
  <c r="O60" i="10"/>
  <c r="N58" i="10"/>
  <c r="M58" i="10"/>
  <c r="M56" i="10" s="1"/>
  <c r="L58" i="10"/>
  <c r="L56" i="10" s="1"/>
  <c r="P57" i="10"/>
  <c r="O57" i="10"/>
  <c r="N54" i="10"/>
  <c r="M54" i="10"/>
  <c r="P54" i="10" s="1"/>
  <c r="L54" i="10"/>
  <c r="O54" i="10" s="1"/>
  <c r="N49" i="10"/>
  <c r="N47" i="10" s="1"/>
  <c r="M49" i="10"/>
  <c r="P49" i="10" s="1"/>
  <c r="L49" i="10"/>
  <c r="O49" i="10" s="1"/>
  <c r="P48" i="10"/>
  <c r="O48" i="10"/>
  <c r="N46" i="10"/>
  <c r="N44" i="10" s="1"/>
  <c r="M46" i="10"/>
  <c r="M44" i="10" s="1"/>
  <c r="L46" i="10"/>
  <c r="P45" i="10"/>
  <c r="O45" i="10"/>
  <c r="P42" i="10"/>
  <c r="O42" i="10"/>
  <c r="N42" i="10"/>
  <c r="M42" i="10"/>
  <c r="L42" i="10"/>
  <c r="N36" i="10"/>
  <c r="N34" i="10" s="1"/>
  <c r="M36" i="10"/>
  <c r="P36" i="10" s="1"/>
  <c r="N35" i="10"/>
  <c r="M35" i="10"/>
  <c r="M34" i="10" s="1"/>
  <c r="P34" i="10" s="1"/>
  <c r="L35" i="10"/>
  <c r="O35" i="10" s="1"/>
  <c r="P33" i="10"/>
  <c r="N33" i="10"/>
  <c r="M33" i="10"/>
  <c r="O32" i="10"/>
  <c r="N32" i="10"/>
  <c r="N29" i="10" s="1"/>
  <c r="N28" i="10" s="1"/>
  <c r="M32" i="10"/>
  <c r="P32" i="10" s="1"/>
  <c r="L32" i="10"/>
  <c r="N30" i="10"/>
  <c r="M30" i="10"/>
  <c r="P30" i="10" s="1"/>
  <c r="N25" i="10"/>
  <c r="N15" i="10" s="1"/>
  <c r="M25" i="10"/>
  <c r="M15" i="10" s="1"/>
  <c r="L25" i="10"/>
  <c r="L15" i="10" s="1"/>
  <c r="N22" i="10"/>
  <c r="M22" i="10"/>
  <c r="L22" i="10"/>
  <c r="L19" i="10" s="1"/>
  <c r="N19" i="10"/>
  <c r="O12" i="10"/>
  <c r="L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P817" i="9"/>
  <c r="O817" i="9"/>
  <c r="P816" i="9"/>
  <c r="O816" i="9"/>
  <c r="O815" i="9"/>
  <c r="N815" i="9"/>
  <c r="M815" i="9"/>
  <c r="P815" i="9" s="1"/>
  <c r="L815" i="9"/>
  <c r="P810" i="9"/>
  <c r="O810" i="9"/>
  <c r="N810" i="9"/>
  <c r="P809" i="9"/>
  <c r="O809" i="9"/>
  <c r="O808" i="9"/>
  <c r="M808" i="9"/>
  <c r="P808" i="9" s="1"/>
  <c r="L808" i="9"/>
  <c r="P807" i="9"/>
  <c r="M807" i="9"/>
  <c r="L807" i="9"/>
  <c r="O806" i="9"/>
  <c r="N806" i="9"/>
  <c r="M806" i="9"/>
  <c r="P806" i="9" s="1"/>
  <c r="L806" i="9"/>
  <c r="P805" i="9"/>
  <c r="M805" i="9"/>
  <c r="K804" i="9"/>
  <c r="J804" i="9"/>
  <c r="K802" i="9"/>
  <c r="J801" i="9"/>
  <c r="J800" i="9"/>
  <c r="J785" i="9" s="1"/>
  <c r="I800" i="9"/>
  <c r="I785" i="9" s="1"/>
  <c r="K785" i="9" s="1"/>
  <c r="P798" i="9"/>
  <c r="O798" i="9"/>
  <c r="P797" i="9"/>
  <c r="O797" i="9"/>
  <c r="P796" i="9"/>
  <c r="N796" i="9"/>
  <c r="M796" i="9"/>
  <c r="L796" i="9"/>
  <c r="O796" i="9" s="1"/>
  <c r="P791" i="9"/>
  <c r="N791" i="9"/>
  <c r="L791" i="9"/>
  <c r="P790" i="9"/>
  <c r="O790" i="9"/>
  <c r="N789" i="9"/>
  <c r="M789" i="9"/>
  <c r="P789" i="9" s="1"/>
  <c r="P788" i="9"/>
  <c r="N788" i="9"/>
  <c r="M788" i="9"/>
  <c r="O787" i="9"/>
  <c r="N787" i="9"/>
  <c r="M787" i="9"/>
  <c r="P787" i="9" s="1"/>
  <c r="L787" i="9"/>
  <c r="N786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N772" i="9" s="1"/>
  <c r="P774" i="9"/>
  <c r="O774" i="9"/>
  <c r="P773" i="9"/>
  <c r="N773" i="9"/>
  <c r="M773" i="9"/>
  <c r="L773" i="9"/>
  <c r="O773" i="9" s="1"/>
  <c r="O772" i="9"/>
  <c r="M772" i="9"/>
  <c r="L772" i="9"/>
  <c r="P771" i="9"/>
  <c r="N771" i="9"/>
  <c r="M771" i="9"/>
  <c r="L771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6" i="9" s="1"/>
  <c r="P758" i="9"/>
  <c r="O758" i="9"/>
  <c r="P757" i="9"/>
  <c r="N757" i="9"/>
  <c r="M757" i="9"/>
  <c r="L757" i="9"/>
  <c r="O757" i="9" s="1"/>
  <c r="O756" i="9"/>
  <c r="M756" i="9"/>
  <c r="L756" i="9"/>
  <c r="P755" i="9"/>
  <c r="N755" i="9"/>
  <c r="N754" i="9" s="1"/>
  <c r="M755" i="9"/>
  <c r="L755" i="9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N739" i="9" s="1"/>
  <c r="P741" i="9"/>
  <c r="O741" i="9"/>
  <c r="P740" i="9"/>
  <c r="N740" i="9"/>
  <c r="M740" i="9"/>
  <c r="L740" i="9"/>
  <c r="O740" i="9" s="1"/>
  <c r="O739" i="9"/>
  <c r="M739" i="9"/>
  <c r="L739" i="9"/>
  <c r="P738" i="9"/>
  <c r="N738" i="9"/>
  <c r="N737" i="9" s="1"/>
  <c r="M738" i="9"/>
  <c r="L738" i="9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O695" i="9"/>
  <c r="N695" i="9"/>
  <c r="M695" i="9"/>
  <c r="L695" i="9"/>
  <c r="P690" i="9"/>
  <c r="N690" i="9"/>
  <c r="N687" i="9" s="1"/>
  <c r="L690" i="9"/>
  <c r="L688" i="9" s="1"/>
  <c r="O688" i="9" s="1"/>
  <c r="M688" i="9"/>
  <c r="P688" i="9" s="1"/>
  <c r="P687" i="9"/>
  <c r="M687" i="9"/>
  <c r="P686" i="9"/>
  <c r="O686" i="9"/>
  <c r="N686" i="9"/>
  <c r="N685" i="9" s="1"/>
  <c r="M686" i="9"/>
  <c r="L686" i="9"/>
  <c r="P685" i="9"/>
  <c r="M685" i="9"/>
  <c r="J679" i="9"/>
  <c r="J678" i="9"/>
  <c r="I678" i="9"/>
  <c r="K678" i="9" s="1"/>
  <c r="J675" i="9"/>
  <c r="I671" i="9"/>
  <c r="K671" i="9" s="1"/>
  <c r="I670" i="9"/>
  <c r="K670" i="9" s="1"/>
  <c r="J669" i="9"/>
  <c r="I669" i="9"/>
  <c r="K674" i="9" s="1"/>
  <c r="P667" i="9"/>
  <c r="O667" i="9"/>
  <c r="P666" i="9"/>
  <c r="O666" i="9"/>
  <c r="P665" i="9"/>
  <c r="O665" i="9"/>
  <c r="N665" i="9"/>
  <c r="M665" i="9"/>
  <c r="L665" i="9"/>
  <c r="P660" i="9"/>
  <c r="N660" i="9"/>
  <c r="L660" i="9"/>
  <c r="O660" i="9" s="1"/>
  <c r="P659" i="9"/>
  <c r="O659" i="9"/>
  <c r="P658" i="9"/>
  <c r="N658" i="9"/>
  <c r="M658" i="9"/>
  <c r="N657" i="9"/>
  <c r="M657" i="9"/>
  <c r="P657" i="9" s="1"/>
  <c r="N656" i="9"/>
  <c r="N655" i="9" s="1"/>
  <c r="M656" i="9"/>
  <c r="P656" i="9" s="1"/>
  <c r="L656" i="9"/>
  <c r="O656" i="9" s="1"/>
  <c r="M655" i="9"/>
  <c r="P655" i="9" s="1"/>
  <c r="J654" i="9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L634" i="9"/>
  <c r="O634" i="9" s="1"/>
  <c r="P633" i="9"/>
  <c r="O633" i="9"/>
  <c r="P632" i="9"/>
  <c r="N632" i="9"/>
  <c r="M632" i="9"/>
  <c r="P631" i="9"/>
  <c r="N631" i="9"/>
  <c r="M631" i="9"/>
  <c r="P630" i="9"/>
  <c r="O630" i="9"/>
  <c r="N630" i="9"/>
  <c r="M630" i="9"/>
  <c r="M629" i="9" s="1"/>
  <c r="P629" i="9" s="1"/>
  <c r="L630" i="9"/>
  <c r="N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4" i="9"/>
  <c r="I594" i="9"/>
  <c r="K594" i="9" s="1"/>
  <c r="J593" i="9"/>
  <c r="I593" i="9"/>
  <c r="K593" i="9" s="1"/>
  <c r="J592" i="9"/>
  <c r="J583" i="9"/>
  <c r="J577" i="9" s="1"/>
  <c r="J582" i="9"/>
  <c r="J576" i="9" s="1"/>
  <c r="J559" i="9" s="1"/>
  <c r="J543" i="9" s="1"/>
  <c r="I577" i="9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N545" i="9" s="1"/>
  <c r="M555" i="9"/>
  <c r="P549" i="9"/>
  <c r="N549" i="9"/>
  <c r="L549" i="9"/>
  <c r="O549" i="9" s="1"/>
  <c r="P548" i="9"/>
  <c r="O548" i="9"/>
  <c r="N547" i="9"/>
  <c r="M547" i="9"/>
  <c r="P547" i="9" s="1"/>
  <c r="N546" i="9"/>
  <c r="M546" i="9"/>
  <c r="P546" i="9" s="1"/>
  <c r="M545" i="9"/>
  <c r="L545" i="9"/>
  <c r="O545" i="9" s="1"/>
  <c r="I542" i="9"/>
  <c r="K542" i="9" s="1"/>
  <c r="I541" i="9"/>
  <c r="K541" i="9" s="1"/>
  <c r="I540" i="9"/>
  <c r="K540" i="9" s="1"/>
  <c r="I539" i="9"/>
  <c r="I538" i="9"/>
  <c r="K538" i="9" s="1"/>
  <c r="I537" i="9"/>
  <c r="K537" i="9" s="1"/>
  <c r="P535" i="9"/>
  <c r="L535" i="9"/>
  <c r="L533" i="9" s="1"/>
  <c r="O533" i="9" s="1"/>
  <c r="P534" i="9"/>
  <c r="O534" i="9"/>
  <c r="N533" i="9"/>
  <c r="M533" i="9"/>
  <c r="P533" i="9" s="1"/>
  <c r="P528" i="9"/>
  <c r="N528" i="9"/>
  <c r="L528" i="9"/>
  <c r="P527" i="9"/>
  <c r="O527" i="9"/>
  <c r="N526" i="9"/>
  <c r="M526" i="9"/>
  <c r="P526" i="9" s="1"/>
  <c r="P525" i="9"/>
  <c r="N525" i="9"/>
  <c r="M525" i="9"/>
  <c r="O524" i="9"/>
  <c r="N524" i="9"/>
  <c r="N523" i="9" s="1"/>
  <c r="M524" i="9"/>
  <c r="P524" i="9" s="1"/>
  <c r="L524" i="9"/>
  <c r="P523" i="9"/>
  <c r="M523" i="9"/>
  <c r="K517" i="9"/>
  <c r="J517" i="9"/>
  <c r="J501" i="9" s="1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4" i="9" s="1"/>
  <c r="N502" i="9" s="1"/>
  <c r="P506" i="9"/>
  <c r="O506" i="9"/>
  <c r="O505" i="9"/>
  <c r="N505" i="9"/>
  <c r="M505" i="9"/>
  <c r="P505" i="9" s="1"/>
  <c r="L505" i="9"/>
  <c r="M504" i="9"/>
  <c r="M502" i="9" s="1"/>
  <c r="P502" i="9" s="1"/>
  <c r="L504" i="9"/>
  <c r="O504" i="9" s="1"/>
  <c r="O503" i="9"/>
  <c r="N503" i="9"/>
  <c r="M503" i="9"/>
  <c r="P503" i="9" s="1"/>
  <c r="L503" i="9"/>
  <c r="L502" i="9" s="1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L477" i="9"/>
  <c r="O477" i="9" s="1"/>
  <c r="P472" i="9"/>
  <c r="N472" i="9"/>
  <c r="N469" i="9" s="1"/>
  <c r="N467" i="9" s="1"/>
  <c r="L472" i="9"/>
  <c r="P471" i="9"/>
  <c r="O471" i="9"/>
  <c r="N470" i="9"/>
  <c r="M470" i="9"/>
  <c r="P470" i="9" s="1"/>
  <c r="P469" i="9"/>
  <c r="M469" i="9"/>
  <c r="M467" i="9" s="1"/>
  <c r="N468" i="9"/>
  <c r="M468" i="9"/>
  <c r="P468" i="9" s="1"/>
  <c r="L468" i="9"/>
  <c r="P467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P455" i="9"/>
  <c r="O455" i="9"/>
  <c r="N454" i="9"/>
  <c r="M454" i="9"/>
  <c r="P454" i="9" s="1"/>
  <c r="P449" i="9"/>
  <c r="N449" i="9"/>
  <c r="L449" i="9"/>
  <c r="O449" i="9" s="1"/>
  <c r="P448" i="9"/>
  <c r="O448" i="9"/>
  <c r="P447" i="9"/>
  <c r="N447" i="9"/>
  <c r="M447" i="9"/>
  <c r="N446" i="9"/>
  <c r="N444" i="9" s="1"/>
  <c r="M446" i="9"/>
  <c r="P446" i="9" s="1"/>
  <c r="O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I433" i="9" s="1"/>
  <c r="J434" i="9"/>
  <c r="P431" i="9"/>
  <c r="L431" i="9"/>
  <c r="L429" i="9" s="1"/>
  <c r="O429" i="9" s="1"/>
  <c r="P430" i="9"/>
  <c r="O430" i="9"/>
  <c r="N429" i="9"/>
  <c r="M429" i="9"/>
  <c r="P429" i="9" s="1"/>
  <c r="P424" i="9"/>
  <c r="N424" i="9"/>
  <c r="N33" i="9" s="1"/>
  <c r="L424" i="9"/>
  <c r="P423" i="9"/>
  <c r="O423" i="9"/>
  <c r="P422" i="9"/>
  <c r="M422" i="9"/>
  <c r="M421" i="9"/>
  <c r="P421" i="9" s="1"/>
  <c r="O420" i="9"/>
  <c r="N420" i="9"/>
  <c r="M420" i="9"/>
  <c r="P420" i="9" s="1"/>
  <c r="L420" i="9"/>
  <c r="J418" i="9"/>
  <c r="K413" i="9"/>
  <c r="K412" i="9"/>
  <c r="N410" i="9"/>
  <c r="M410" i="9"/>
  <c r="P410" i="9" s="1"/>
  <c r="L410" i="9"/>
  <c r="P409" i="9"/>
  <c r="O409" i="9"/>
  <c r="N407" i="9"/>
  <c r="N405" i="9" s="1"/>
  <c r="M407" i="9"/>
  <c r="P407" i="9" s="1"/>
  <c r="L407" i="9"/>
  <c r="O407" i="9" s="1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M395" i="9" s="1"/>
  <c r="P395" i="9" s="1"/>
  <c r="L397" i="9"/>
  <c r="O397" i="9" s="1"/>
  <c r="P396" i="9"/>
  <c r="O396" i="9"/>
  <c r="N394" i="9"/>
  <c r="N392" i="9" s="1"/>
  <c r="M394" i="9"/>
  <c r="M392" i="9" s="1"/>
  <c r="P392" i="9" s="1"/>
  <c r="L394" i="9"/>
  <c r="O394" i="9" s="1"/>
  <c r="P393" i="9"/>
  <c r="O393" i="9"/>
  <c r="N390" i="9"/>
  <c r="M390" i="9"/>
  <c r="L390" i="9"/>
  <c r="O390" i="9" s="1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L353" i="9"/>
  <c r="L351" i="9" s="1"/>
  <c r="P352" i="9"/>
  <c r="O352" i="9"/>
  <c r="N350" i="9"/>
  <c r="N348" i="9" s="1"/>
  <c r="M350" i="9"/>
  <c r="M348" i="9" s="1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M334" i="9" s="1"/>
  <c r="P334" i="9" s="1"/>
  <c r="L336" i="9"/>
  <c r="O336" i="9" s="1"/>
  <c r="P335" i="9"/>
  <c r="O335" i="9"/>
  <c r="N333" i="9"/>
  <c r="M333" i="9"/>
  <c r="M331" i="9" s="1"/>
  <c r="L333" i="9"/>
  <c r="L331" i="9" s="1"/>
  <c r="P332" i="9"/>
  <c r="O332" i="9"/>
  <c r="O329" i="9"/>
  <c r="N329" i="9"/>
  <c r="M329" i="9"/>
  <c r="P329" i="9" s="1"/>
  <c r="L329" i="9"/>
  <c r="I327" i="9"/>
  <c r="I325" i="9"/>
  <c r="K325" i="9" s="1"/>
  <c r="N323" i="9"/>
  <c r="N321" i="9" s="1"/>
  <c r="M323" i="9"/>
  <c r="P323" i="9" s="1"/>
  <c r="L323" i="9"/>
  <c r="O323" i="9" s="1"/>
  <c r="P322" i="9"/>
  <c r="O322" i="9"/>
  <c r="N320" i="9"/>
  <c r="N318" i="9" s="1"/>
  <c r="M320" i="9"/>
  <c r="P320" i="9" s="1"/>
  <c r="L320" i="9"/>
  <c r="O320" i="9" s="1"/>
  <c r="P319" i="9"/>
  <c r="O319" i="9"/>
  <c r="P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I297" i="9" s="1"/>
  <c r="K297" i="9" s="1"/>
  <c r="N306" i="9"/>
  <c r="N304" i="9" s="1"/>
  <c r="M306" i="9"/>
  <c r="P306" i="9" s="1"/>
  <c r="L306" i="9"/>
  <c r="O306" i="9" s="1"/>
  <c r="P305" i="9"/>
  <c r="O305" i="9"/>
  <c r="N303" i="9"/>
  <c r="N301" i="9" s="1"/>
  <c r="M303" i="9"/>
  <c r="M301" i="9" s="1"/>
  <c r="L303" i="9"/>
  <c r="P302" i="9"/>
  <c r="O302" i="9"/>
  <c r="P299" i="9"/>
  <c r="N299" i="9"/>
  <c r="M299" i="9"/>
  <c r="L299" i="9"/>
  <c r="O299" i="9" s="1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I276" i="9" s="1"/>
  <c r="K276" i="9" s="1"/>
  <c r="N285" i="9"/>
  <c r="N283" i="9" s="1"/>
  <c r="M285" i="9"/>
  <c r="P285" i="9" s="1"/>
  <c r="L285" i="9"/>
  <c r="P284" i="9"/>
  <c r="O284" i="9"/>
  <c r="N282" i="9"/>
  <c r="M282" i="9"/>
  <c r="P282" i="9" s="1"/>
  <c r="L282" i="9"/>
  <c r="L280" i="9" s="1"/>
  <c r="O280" i="9" s="1"/>
  <c r="P281" i="9"/>
  <c r="O281" i="9"/>
  <c r="P278" i="9"/>
  <c r="O278" i="9"/>
  <c r="N278" i="9"/>
  <c r="M278" i="9"/>
  <c r="L278" i="9"/>
  <c r="J276" i="9"/>
  <c r="I271" i="9"/>
  <c r="K271" i="9" s="1"/>
  <c r="N269" i="9"/>
  <c r="N267" i="9" s="1"/>
  <c r="M269" i="9"/>
  <c r="M267" i="9" s="1"/>
  <c r="P267" i="9" s="1"/>
  <c r="L269" i="9"/>
  <c r="L267" i="9" s="1"/>
  <c r="O267" i="9" s="1"/>
  <c r="P268" i="9"/>
  <c r="O268" i="9"/>
  <c r="N266" i="9"/>
  <c r="N264" i="9" s="1"/>
  <c r="M266" i="9"/>
  <c r="M264" i="9" s="1"/>
  <c r="P264" i="9" s="1"/>
  <c r="L266" i="9"/>
  <c r="P265" i="9"/>
  <c r="O265" i="9"/>
  <c r="N262" i="9"/>
  <c r="M262" i="9"/>
  <c r="L262" i="9"/>
  <c r="O262" i="9" s="1"/>
  <c r="J260" i="9"/>
  <c r="K258" i="9"/>
  <c r="K257" i="9"/>
  <c r="K255" i="9"/>
  <c r="L253" i="9"/>
  <c r="L252" i="9"/>
  <c r="L251" i="9"/>
  <c r="L250" i="9"/>
  <c r="P249" i="9"/>
  <c r="N249" i="9"/>
  <c r="J248" i="9"/>
  <c r="K247" i="9"/>
  <c r="K246" i="9"/>
  <c r="I244" i="9"/>
  <c r="I237" i="9" s="1"/>
  <c r="K237" i="9" s="1"/>
  <c r="L242" i="9"/>
  <c r="L241" i="9"/>
  <c r="L240" i="9"/>
  <c r="L239" i="9"/>
  <c r="P238" i="9"/>
  <c r="N238" i="9"/>
  <c r="N227" i="9" s="1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I190" i="9" s="1"/>
  <c r="K190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M186" i="9"/>
  <c r="L186" i="9"/>
  <c r="P185" i="9"/>
  <c r="O185" i="9"/>
  <c r="P182" i="9"/>
  <c r="N182" i="9"/>
  <c r="M182" i="9"/>
  <c r="L182" i="9"/>
  <c r="O182" i="9" s="1"/>
  <c r="J177" i="9"/>
  <c r="I176" i="9"/>
  <c r="K176" i="9" s="1"/>
  <c r="J174" i="9"/>
  <c r="N173" i="9"/>
  <c r="N171" i="9" s="1"/>
  <c r="M173" i="9"/>
  <c r="P173" i="9" s="1"/>
  <c r="L173" i="9"/>
  <c r="L171" i="9" s="1"/>
  <c r="O171" i="9" s="1"/>
  <c r="P172" i="9"/>
  <c r="O172" i="9"/>
  <c r="N170" i="9"/>
  <c r="N168" i="9" s="1"/>
  <c r="M170" i="9"/>
  <c r="L170" i="9"/>
  <c r="P169" i="9"/>
  <c r="O169" i="9"/>
  <c r="N166" i="9"/>
  <c r="M166" i="9"/>
  <c r="P166" i="9" s="1"/>
  <c r="L166" i="9"/>
  <c r="J164" i="9"/>
  <c r="I159" i="9"/>
  <c r="K159" i="9" s="1"/>
  <c r="N157" i="9"/>
  <c r="N155" i="9" s="1"/>
  <c r="M157" i="9"/>
  <c r="L157" i="9"/>
  <c r="O157" i="9" s="1"/>
  <c r="P156" i="9"/>
  <c r="O156" i="9"/>
  <c r="N154" i="9"/>
  <c r="N152" i="9" s="1"/>
  <c r="M154" i="9"/>
  <c r="M152" i="9" s="1"/>
  <c r="P152" i="9" s="1"/>
  <c r="L154" i="9"/>
  <c r="O154" i="9" s="1"/>
  <c r="P153" i="9"/>
  <c r="O153" i="9"/>
  <c r="P150" i="9"/>
  <c r="N150" i="9"/>
  <c r="M150" i="9"/>
  <c r="L150" i="9"/>
  <c r="O150" i="9" s="1"/>
  <c r="J148" i="9"/>
  <c r="I146" i="9"/>
  <c r="K146" i="9" s="1"/>
  <c r="I145" i="9"/>
  <c r="I144" i="9"/>
  <c r="K144" i="9" s="1"/>
  <c r="N140" i="9"/>
  <c r="N138" i="9" s="1"/>
  <c r="M140" i="9"/>
  <c r="L140" i="9"/>
  <c r="L138" i="9" s="1"/>
  <c r="P139" i="9"/>
  <c r="O139" i="9"/>
  <c r="N137" i="9"/>
  <c r="N135" i="9" s="1"/>
  <c r="M137" i="9"/>
  <c r="L137" i="9"/>
  <c r="P136" i="9"/>
  <c r="O136" i="9"/>
  <c r="P133" i="9"/>
  <c r="N133" i="9"/>
  <c r="M133" i="9"/>
  <c r="L133" i="9"/>
  <c r="J130" i="9"/>
  <c r="N127" i="9"/>
  <c r="N125" i="9" s="1"/>
  <c r="M127" i="9"/>
  <c r="L127" i="9"/>
  <c r="O127" i="9" s="1"/>
  <c r="P126" i="9"/>
  <c r="O126" i="9"/>
  <c r="N124" i="9"/>
  <c r="M124" i="9"/>
  <c r="M122" i="9" s="1"/>
  <c r="P122" i="9" s="1"/>
  <c r="L124" i="9"/>
  <c r="O124" i="9" s="1"/>
  <c r="P123" i="9"/>
  <c r="O123" i="9"/>
  <c r="P120" i="9"/>
  <c r="N120" i="9"/>
  <c r="M120" i="9"/>
  <c r="L120" i="9"/>
  <c r="O120" i="9" s="1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I87" i="9" s="1"/>
  <c r="K87" i="9" s="1"/>
  <c r="J98" i="9"/>
  <c r="I98" i="9"/>
  <c r="I86" i="9" s="1"/>
  <c r="N96" i="9"/>
  <c r="N94" i="9" s="1"/>
  <c r="M96" i="9"/>
  <c r="P96" i="9" s="1"/>
  <c r="L96" i="9"/>
  <c r="P95" i="9"/>
  <c r="O95" i="9"/>
  <c r="N93" i="9"/>
  <c r="N91" i="9" s="1"/>
  <c r="M93" i="9"/>
  <c r="L93" i="9"/>
  <c r="L91" i="9" s="1"/>
  <c r="P92" i="9"/>
  <c r="O92" i="9"/>
  <c r="P89" i="9"/>
  <c r="N89" i="9"/>
  <c r="M89" i="9"/>
  <c r="L89" i="9"/>
  <c r="J86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J77" i="9"/>
  <c r="J76" i="9"/>
  <c r="J64" i="9" s="1"/>
  <c r="N74" i="9"/>
  <c r="N72" i="9" s="1"/>
  <c r="M74" i="9"/>
  <c r="P74" i="9" s="1"/>
  <c r="L74" i="9"/>
  <c r="O74" i="9" s="1"/>
  <c r="P73" i="9"/>
  <c r="O73" i="9"/>
  <c r="N71" i="9"/>
  <c r="N69" i="9" s="1"/>
  <c r="M71" i="9"/>
  <c r="M69" i="9" s="1"/>
  <c r="L71" i="9"/>
  <c r="P70" i="9"/>
  <c r="O70" i="9"/>
  <c r="P67" i="9"/>
  <c r="O67" i="9"/>
  <c r="N67" i="9"/>
  <c r="M67" i="9"/>
  <c r="L67" i="9"/>
  <c r="J65" i="9"/>
  <c r="N61" i="9"/>
  <c r="N59" i="9" s="1"/>
  <c r="M61" i="9"/>
  <c r="L61" i="9"/>
  <c r="O61" i="9" s="1"/>
  <c r="P60" i="9"/>
  <c r="O60" i="9"/>
  <c r="N58" i="9"/>
  <c r="M58" i="9"/>
  <c r="L58" i="9"/>
  <c r="P57" i="9"/>
  <c r="O57" i="9"/>
  <c r="P54" i="9"/>
  <c r="N54" i="9"/>
  <c r="M54" i="9"/>
  <c r="L54" i="9"/>
  <c r="O54" i="9" s="1"/>
  <c r="N49" i="9"/>
  <c r="M49" i="9"/>
  <c r="P49" i="9" s="1"/>
  <c r="L49" i="9"/>
  <c r="P48" i="9"/>
  <c r="O48" i="9"/>
  <c r="N46" i="9"/>
  <c r="N44" i="9" s="1"/>
  <c r="M46" i="9"/>
  <c r="M44" i="9" s="1"/>
  <c r="L46" i="9"/>
  <c r="L44" i="9" s="1"/>
  <c r="P45" i="9"/>
  <c r="O45" i="9"/>
  <c r="P42" i="9"/>
  <c r="O42" i="9"/>
  <c r="N42" i="9"/>
  <c r="M42" i="9"/>
  <c r="L42" i="9"/>
  <c r="P36" i="9"/>
  <c r="N36" i="9"/>
  <c r="N34" i="9" s="1"/>
  <c r="M36" i="9"/>
  <c r="N35" i="9"/>
  <c r="M35" i="9"/>
  <c r="L35" i="9"/>
  <c r="O35" i="9" s="1"/>
  <c r="P33" i="9"/>
  <c r="M33" i="9"/>
  <c r="M31" i="9" s="1"/>
  <c r="P31" i="9" s="1"/>
  <c r="P32" i="9"/>
  <c r="N32" i="9"/>
  <c r="N29" i="9" s="1"/>
  <c r="N28" i="9" s="1"/>
  <c r="M32" i="9"/>
  <c r="L32" i="9"/>
  <c r="P30" i="9"/>
  <c r="N30" i="9"/>
  <c r="M30" i="9"/>
  <c r="L29" i="9"/>
  <c r="O29" i="9" s="1"/>
  <c r="P25" i="9"/>
  <c r="O25" i="9"/>
  <c r="N25" i="9"/>
  <c r="M25" i="9"/>
  <c r="L25" i="9"/>
  <c r="O22" i="9"/>
  <c r="N22" i="9"/>
  <c r="M22" i="9"/>
  <c r="P22" i="9" s="1"/>
  <c r="L22" i="9"/>
  <c r="N19" i="9"/>
  <c r="M19" i="9"/>
  <c r="P19" i="9" s="1"/>
  <c r="N15" i="9"/>
  <c r="M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P817" i="8"/>
  <c r="O817" i="8"/>
  <c r="P816" i="8"/>
  <c r="O816" i="8"/>
  <c r="O815" i="8"/>
  <c r="N815" i="8"/>
  <c r="M815" i="8"/>
  <c r="P815" i="8" s="1"/>
  <c r="L815" i="8"/>
  <c r="P810" i="8"/>
  <c r="O810" i="8"/>
  <c r="N810" i="8"/>
  <c r="P809" i="8"/>
  <c r="O809" i="8"/>
  <c r="O808" i="8"/>
  <c r="M808" i="8"/>
  <c r="P808" i="8" s="1"/>
  <c r="L808" i="8"/>
  <c r="P807" i="8"/>
  <c r="M807" i="8"/>
  <c r="L807" i="8"/>
  <c r="O806" i="8"/>
  <c r="N806" i="8"/>
  <c r="M806" i="8"/>
  <c r="P806" i="8" s="1"/>
  <c r="L806" i="8"/>
  <c r="P805" i="8"/>
  <c r="M805" i="8"/>
  <c r="K804" i="8"/>
  <c r="J804" i="8"/>
  <c r="K802" i="8"/>
  <c r="J801" i="8"/>
  <c r="J800" i="8"/>
  <c r="J785" i="8" s="1"/>
  <c r="I800" i="8"/>
  <c r="K800" i="8" s="1"/>
  <c r="P798" i="8"/>
  <c r="O798" i="8"/>
  <c r="P797" i="8"/>
  <c r="O797" i="8"/>
  <c r="P796" i="8"/>
  <c r="N796" i="8"/>
  <c r="M796" i="8"/>
  <c r="L796" i="8"/>
  <c r="O796" i="8" s="1"/>
  <c r="P791" i="8"/>
  <c r="N791" i="8"/>
  <c r="L791" i="8"/>
  <c r="L788" i="8" s="1"/>
  <c r="P790" i="8"/>
  <c r="O790" i="8"/>
  <c r="N789" i="8"/>
  <c r="M789" i="8"/>
  <c r="P789" i="8" s="1"/>
  <c r="P788" i="8"/>
  <c r="N788" i="8"/>
  <c r="M788" i="8"/>
  <c r="O787" i="8"/>
  <c r="N787" i="8"/>
  <c r="M787" i="8"/>
  <c r="P787" i="8" s="1"/>
  <c r="L787" i="8"/>
  <c r="P786" i="8"/>
  <c r="N786" i="8"/>
  <c r="M786" i="8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N772" i="8" s="1"/>
  <c r="N770" i="8" s="1"/>
  <c r="P774" i="8"/>
  <c r="O774" i="8"/>
  <c r="N773" i="8"/>
  <c r="M773" i="8"/>
  <c r="P773" i="8" s="1"/>
  <c r="L773" i="8"/>
  <c r="O773" i="8" s="1"/>
  <c r="O772" i="8"/>
  <c r="M772" i="8"/>
  <c r="L772" i="8"/>
  <c r="P771" i="8"/>
  <c r="N771" i="8"/>
  <c r="M771" i="8"/>
  <c r="L771" i="8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N756" i="8" s="1"/>
  <c r="N754" i="8" s="1"/>
  <c r="P758" i="8"/>
  <c r="O758" i="8"/>
  <c r="N757" i="8"/>
  <c r="M757" i="8"/>
  <c r="P757" i="8" s="1"/>
  <c r="L757" i="8"/>
  <c r="O757" i="8" s="1"/>
  <c r="M756" i="8"/>
  <c r="L756" i="8"/>
  <c r="O756" i="8" s="1"/>
  <c r="P755" i="8"/>
  <c r="N755" i="8"/>
  <c r="M755" i="8"/>
  <c r="L755" i="8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N739" i="8" s="1"/>
  <c r="N737" i="8" s="1"/>
  <c r="P741" i="8"/>
  <c r="O741" i="8"/>
  <c r="N740" i="8"/>
  <c r="M740" i="8"/>
  <c r="P740" i="8" s="1"/>
  <c r="L740" i="8"/>
  <c r="O740" i="8" s="1"/>
  <c r="M739" i="8"/>
  <c r="L739" i="8"/>
  <c r="O739" i="8" s="1"/>
  <c r="P738" i="8"/>
  <c r="N738" i="8"/>
  <c r="M738" i="8"/>
  <c r="L738" i="8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P690" i="8"/>
  <c r="N690" i="8"/>
  <c r="N687" i="8" s="1"/>
  <c r="L690" i="8"/>
  <c r="L688" i="8" s="1"/>
  <c r="M688" i="8"/>
  <c r="P688" i="8" s="1"/>
  <c r="P687" i="8"/>
  <c r="M687" i="8"/>
  <c r="P686" i="8"/>
  <c r="O686" i="8"/>
  <c r="N686" i="8"/>
  <c r="N685" i="8" s="1"/>
  <c r="M686" i="8"/>
  <c r="L686" i="8"/>
  <c r="P685" i="8"/>
  <c r="M685" i="8"/>
  <c r="J679" i="8"/>
  <c r="J678" i="8"/>
  <c r="I678" i="8"/>
  <c r="K678" i="8" s="1"/>
  <c r="J675" i="8"/>
  <c r="I671" i="8"/>
  <c r="K671" i="8" s="1"/>
  <c r="I670" i="8"/>
  <c r="K670" i="8" s="1"/>
  <c r="J669" i="8"/>
  <c r="I669" i="8"/>
  <c r="K675" i="8" s="1"/>
  <c r="P667" i="8"/>
  <c r="O667" i="8"/>
  <c r="P666" i="8"/>
  <c r="O666" i="8"/>
  <c r="P665" i="8"/>
  <c r="O665" i="8"/>
  <c r="N665" i="8"/>
  <c r="M665" i="8"/>
  <c r="L665" i="8"/>
  <c r="P660" i="8"/>
  <c r="N660" i="8"/>
  <c r="L660" i="8"/>
  <c r="L657" i="8" s="1"/>
  <c r="O657" i="8" s="1"/>
  <c r="P659" i="8"/>
  <c r="O659" i="8"/>
  <c r="P658" i="8"/>
  <c r="N658" i="8"/>
  <c r="M658" i="8"/>
  <c r="N657" i="8"/>
  <c r="M657" i="8"/>
  <c r="P657" i="8" s="1"/>
  <c r="N656" i="8"/>
  <c r="N655" i="8" s="1"/>
  <c r="M656" i="8"/>
  <c r="P656" i="8" s="1"/>
  <c r="L656" i="8"/>
  <c r="O656" i="8" s="1"/>
  <c r="M655" i="8"/>
  <c r="P655" i="8" s="1"/>
  <c r="J654" i="8"/>
  <c r="K652" i="8"/>
  <c r="J652" i="8"/>
  <c r="J651" i="8"/>
  <c r="J628" i="8" s="1"/>
  <c r="I651" i="8"/>
  <c r="K651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L634" i="8"/>
  <c r="O634" i="8" s="1"/>
  <c r="P633" i="8"/>
  <c r="O633" i="8"/>
  <c r="P632" i="8"/>
  <c r="N632" i="8"/>
  <c r="M632" i="8"/>
  <c r="N631" i="8"/>
  <c r="M631" i="8"/>
  <c r="P631" i="8" s="1"/>
  <c r="P630" i="8"/>
  <c r="N630" i="8"/>
  <c r="M630" i="8"/>
  <c r="M629" i="8" s="1"/>
  <c r="P629" i="8" s="1"/>
  <c r="L630" i="8"/>
  <c r="O630" i="8" s="1"/>
  <c r="N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J594" i="8"/>
  <c r="I594" i="8"/>
  <c r="K594" i="8" s="1"/>
  <c r="I593" i="8"/>
  <c r="K593" i="8" s="1"/>
  <c r="J583" i="8"/>
  <c r="J577" i="8" s="1"/>
  <c r="J582" i="8"/>
  <c r="J576" i="8" s="1"/>
  <c r="I577" i="8"/>
  <c r="I576" i="8"/>
  <c r="I559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O557" i="8" s="1"/>
  <c r="P556" i="8"/>
  <c r="O556" i="8"/>
  <c r="P555" i="8"/>
  <c r="N555" i="8"/>
  <c r="N545" i="8" s="1"/>
  <c r="M555" i="8"/>
  <c r="P549" i="8"/>
  <c r="N549" i="8"/>
  <c r="L549" i="8"/>
  <c r="O549" i="8" s="1"/>
  <c r="P548" i="8"/>
  <c r="O548" i="8"/>
  <c r="N547" i="8"/>
  <c r="M547" i="8"/>
  <c r="P547" i="8" s="1"/>
  <c r="N546" i="8"/>
  <c r="M546" i="8"/>
  <c r="P546" i="8" s="1"/>
  <c r="M545" i="8"/>
  <c r="L545" i="8"/>
  <c r="O545" i="8" s="1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L533" i="8" s="1"/>
  <c r="O533" i="8" s="1"/>
  <c r="P534" i="8"/>
  <c r="O534" i="8"/>
  <c r="N533" i="8"/>
  <c r="M533" i="8"/>
  <c r="P533" i="8" s="1"/>
  <c r="P528" i="8"/>
  <c r="N528" i="8"/>
  <c r="L528" i="8"/>
  <c r="P527" i="8"/>
  <c r="O527" i="8"/>
  <c r="N526" i="8"/>
  <c r="M526" i="8"/>
  <c r="P526" i="8" s="1"/>
  <c r="P525" i="8"/>
  <c r="N525" i="8"/>
  <c r="M525" i="8"/>
  <c r="P524" i="8"/>
  <c r="O524" i="8"/>
  <c r="N524" i="8"/>
  <c r="N523" i="8" s="1"/>
  <c r="M524" i="8"/>
  <c r="L524" i="8"/>
  <c r="P523" i="8"/>
  <c r="M523" i="8"/>
  <c r="I522" i="8"/>
  <c r="K522" i="8" s="1"/>
  <c r="K517" i="8"/>
  <c r="J517" i="8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N504" i="8" s="1"/>
  <c r="P506" i="8"/>
  <c r="O506" i="8"/>
  <c r="O505" i="8"/>
  <c r="M505" i="8"/>
  <c r="P505" i="8" s="1"/>
  <c r="L505" i="8"/>
  <c r="P504" i="8"/>
  <c r="M504" i="8"/>
  <c r="L504" i="8"/>
  <c r="O504" i="8" s="1"/>
  <c r="O503" i="8"/>
  <c r="N503" i="8"/>
  <c r="M503" i="8"/>
  <c r="P503" i="8" s="1"/>
  <c r="L503" i="8"/>
  <c r="L502" i="8" s="1"/>
  <c r="O502" i="8" s="1"/>
  <c r="N502" i="8"/>
  <c r="M502" i="8"/>
  <c r="P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O479" i="8" s="1"/>
  <c r="P478" i="8"/>
  <c r="O478" i="8"/>
  <c r="P477" i="8"/>
  <c r="N477" i="8"/>
  <c r="M477" i="8"/>
  <c r="P472" i="8"/>
  <c r="N472" i="8"/>
  <c r="N469" i="8" s="1"/>
  <c r="L472" i="8"/>
  <c r="O472" i="8" s="1"/>
  <c r="P471" i="8"/>
  <c r="O471" i="8"/>
  <c r="P470" i="8"/>
  <c r="N470" i="8"/>
  <c r="M470" i="8"/>
  <c r="P469" i="8"/>
  <c r="M469" i="8"/>
  <c r="O468" i="8"/>
  <c r="N468" i="8"/>
  <c r="M468" i="8"/>
  <c r="P468" i="8" s="1"/>
  <c r="L468" i="8"/>
  <c r="N467" i="8"/>
  <c r="M467" i="8"/>
  <c r="P467" i="8" s="1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P455" i="8"/>
  <c r="O455" i="8"/>
  <c r="N454" i="8"/>
  <c r="M454" i="8"/>
  <c r="P454" i="8" s="1"/>
  <c r="P449" i="8"/>
  <c r="N449" i="8"/>
  <c r="L449" i="8"/>
  <c r="O449" i="8" s="1"/>
  <c r="P448" i="8"/>
  <c r="O448" i="8"/>
  <c r="P447" i="8"/>
  <c r="N447" i="8"/>
  <c r="M447" i="8"/>
  <c r="P446" i="8"/>
  <c r="N446" i="8"/>
  <c r="N444" i="8" s="1"/>
  <c r="M446" i="8"/>
  <c r="P445" i="8"/>
  <c r="O445" i="8"/>
  <c r="N445" i="8"/>
  <c r="M445" i="8"/>
  <c r="M444" i="8" s="1"/>
  <c r="P444" i="8" s="1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K435" i="8" s="1"/>
  <c r="J434" i="8"/>
  <c r="P431" i="8"/>
  <c r="L431" i="8"/>
  <c r="P430" i="8"/>
  <c r="O430" i="8"/>
  <c r="N429" i="8"/>
  <c r="M429" i="8"/>
  <c r="P429" i="8" s="1"/>
  <c r="P424" i="8"/>
  <c r="N424" i="8"/>
  <c r="L424" i="8"/>
  <c r="O424" i="8" s="1"/>
  <c r="P423" i="8"/>
  <c r="O423" i="8"/>
  <c r="P422" i="8"/>
  <c r="N422" i="8"/>
  <c r="M422" i="8"/>
  <c r="N421" i="8"/>
  <c r="N419" i="8" s="1"/>
  <c r="M421" i="8"/>
  <c r="P421" i="8" s="1"/>
  <c r="P420" i="8"/>
  <c r="N420" i="8"/>
  <c r="M420" i="8"/>
  <c r="M419" i="8" s="1"/>
  <c r="L420" i="8"/>
  <c r="O420" i="8" s="1"/>
  <c r="J418" i="8"/>
  <c r="K413" i="8"/>
  <c r="K412" i="8"/>
  <c r="N410" i="8"/>
  <c r="N408" i="8" s="1"/>
  <c r="M410" i="8"/>
  <c r="P410" i="8" s="1"/>
  <c r="L410" i="8"/>
  <c r="L408" i="8" s="1"/>
  <c r="O408" i="8" s="1"/>
  <c r="P409" i="8"/>
  <c r="O409" i="8"/>
  <c r="N407" i="8"/>
  <c r="N405" i="8" s="1"/>
  <c r="M407" i="8"/>
  <c r="P407" i="8" s="1"/>
  <c r="L407" i="8"/>
  <c r="L405" i="8" s="1"/>
  <c r="O405" i="8" s="1"/>
  <c r="P406" i="8"/>
  <c r="O406" i="8"/>
  <c r="N403" i="8"/>
  <c r="M403" i="8"/>
  <c r="P403" i="8" s="1"/>
  <c r="L403" i="8"/>
  <c r="O403" i="8" s="1"/>
  <c r="J401" i="8"/>
  <c r="I401" i="8"/>
  <c r="K401" i="8" s="1"/>
  <c r="K400" i="8"/>
  <c r="K399" i="8"/>
  <c r="N397" i="8"/>
  <c r="N395" i="8" s="1"/>
  <c r="M397" i="8"/>
  <c r="P397" i="8" s="1"/>
  <c r="L397" i="8"/>
  <c r="O397" i="8" s="1"/>
  <c r="P396" i="8"/>
  <c r="O396" i="8"/>
  <c r="N394" i="8"/>
  <c r="N392" i="8" s="1"/>
  <c r="M394" i="8"/>
  <c r="P394" i="8" s="1"/>
  <c r="L394" i="8"/>
  <c r="O394" i="8" s="1"/>
  <c r="P393" i="8"/>
  <c r="O393" i="8"/>
  <c r="P390" i="8"/>
  <c r="N390" i="8"/>
  <c r="M390" i="8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M353" i="8"/>
  <c r="L353" i="8"/>
  <c r="L351" i="8" s="1"/>
  <c r="P352" i="8"/>
  <c r="O352" i="8"/>
  <c r="N350" i="8"/>
  <c r="M350" i="8"/>
  <c r="M348" i="8" s="1"/>
  <c r="L350" i="8"/>
  <c r="L348" i="8" s="1"/>
  <c r="P349" i="8"/>
  <c r="O349" i="8"/>
  <c r="P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O336" i="8" s="1"/>
  <c r="P335" i="8"/>
  <c r="O335" i="8"/>
  <c r="N333" i="8"/>
  <c r="M333" i="8"/>
  <c r="M331" i="8" s="1"/>
  <c r="L333" i="8"/>
  <c r="P332" i="8"/>
  <c r="O332" i="8"/>
  <c r="N329" i="8"/>
  <c r="M329" i="8"/>
  <c r="P329" i="8" s="1"/>
  <c r="L329" i="8"/>
  <c r="O329" i="8" s="1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M320" i="8"/>
  <c r="P320" i="8" s="1"/>
  <c r="L320" i="8"/>
  <c r="L318" i="8" s="1"/>
  <c r="O318" i="8" s="1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N304" i="8" s="1"/>
  <c r="M306" i="8"/>
  <c r="M304" i="8" s="1"/>
  <c r="P304" i="8" s="1"/>
  <c r="L306" i="8"/>
  <c r="P305" i="8"/>
  <c r="O305" i="8"/>
  <c r="N303" i="8"/>
  <c r="N301" i="8" s="1"/>
  <c r="M303" i="8"/>
  <c r="P303" i="8" s="1"/>
  <c r="L303" i="8"/>
  <c r="O303" i="8" s="1"/>
  <c r="P302" i="8"/>
  <c r="O302" i="8"/>
  <c r="P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K288" i="8" s="1"/>
  <c r="I287" i="8"/>
  <c r="K287" i="8" s="1"/>
  <c r="N285" i="8"/>
  <c r="N283" i="8" s="1"/>
  <c r="M285" i="8"/>
  <c r="M283" i="8" s="1"/>
  <c r="P283" i="8" s="1"/>
  <c r="L285" i="8"/>
  <c r="L283" i="8" s="1"/>
  <c r="O283" i="8" s="1"/>
  <c r="P284" i="8"/>
  <c r="O284" i="8"/>
  <c r="N282" i="8"/>
  <c r="N280" i="8" s="1"/>
  <c r="M282" i="8"/>
  <c r="L282" i="8"/>
  <c r="L280" i="8" s="1"/>
  <c r="O280" i="8" s="1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M267" i="8" s="1"/>
  <c r="P267" i="8" s="1"/>
  <c r="L269" i="8"/>
  <c r="P268" i="8"/>
  <c r="O268" i="8"/>
  <c r="N266" i="8"/>
  <c r="M266" i="8"/>
  <c r="L266" i="8"/>
  <c r="L264" i="8" s="1"/>
  <c r="P265" i="8"/>
  <c r="O265" i="8"/>
  <c r="O262" i="8"/>
  <c r="N262" i="8"/>
  <c r="M262" i="8"/>
  <c r="P262" i="8" s="1"/>
  <c r="L262" i="8"/>
  <c r="J260" i="8"/>
  <c r="K258" i="8"/>
  <c r="K257" i="8"/>
  <c r="I248" i="8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N227" i="8" s="1"/>
  <c r="J237" i="8"/>
  <c r="J226" i="8" s="1"/>
  <c r="J180" i="8" s="1"/>
  <c r="J236" i="8"/>
  <c r="I236" i="8"/>
  <c r="K236" i="8" s="1"/>
  <c r="J235" i="8"/>
  <c r="I235" i="8"/>
  <c r="K235" i="8" s="1"/>
  <c r="J233" i="8"/>
  <c r="N231" i="8"/>
  <c r="N230" i="8"/>
  <c r="N229" i="8"/>
  <c r="N228" i="8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L187" i="8" s="1"/>
  <c r="O187" i="8" s="1"/>
  <c r="P188" i="8"/>
  <c r="O188" i="8"/>
  <c r="N186" i="8"/>
  <c r="N184" i="8" s="1"/>
  <c r="M186" i="8"/>
  <c r="M184" i="8" s="1"/>
  <c r="L186" i="8"/>
  <c r="L184" i="8" s="1"/>
  <c r="P185" i="8"/>
  <c r="O185" i="8"/>
  <c r="P182" i="8"/>
  <c r="N182" i="8"/>
  <c r="M182" i="8"/>
  <c r="L182" i="8"/>
  <c r="O182" i="8" s="1"/>
  <c r="J177" i="8"/>
  <c r="I176" i="8"/>
  <c r="I174" i="8" s="1"/>
  <c r="J174" i="8"/>
  <c r="J164" i="8" s="1"/>
  <c r="N173" i="8"/>
  <c r="N171" i="8" s="1"/>
  <c r="M173" i="8"/>
  <c r="P173" i="8" s="1"/>
  <c r="L173" i="8"/>
  <c r="L171" i="8" s="1"/>
  <c r="O171" i="8" s="1"/>
  <c r="P172" i="8"/>
  <c r="O172" i="8"/>
  <c r="N170" i="8"/>
  <c r="N168" i="8" s="1"/>
  <c r="M170" i="8"/>
  <c r="M168" i="8" s="1"/>
  <c r="L170" i="8"/>
  <c r="P169" i="8"/>
  <c r="O169" i="8"/>
  <c r="P166" i="8"/>
  <c r="N166" i="8"/>
  <c r="M166" i="8"/>
  <c r="L166" i="8"/>
  <c r="O166" i="8" s="1"/>
  <c r="I159" i="8"/>
  <c r="K159" i="8" s="1"/>
  <c r="N157" i="8"/>
  <c r="N155" i="8" s="1"/>
  <c r="M157" i="8"/>
  <c r="M155" i="8" s="1"/>
  <c r="P155" i="8" s="1"/>
  <c r="L157" i="8"/>
  <c r="L155" i="8" s="1"/>
  <c r="O155" i="8" s="1"/>
  <c r="P156" i="8"/>
  <c r="O156" i="8"/>
  <c r="N154" i="8"/>
  <c r="N152" i="8" s="1"/>
  <c r="M154" i="8"/>
  <c r="L154" i="8"/>
  <c r="O154" i="8" s="1"/>
  <c r="P153" i="8"/>
  <c r="O153" i="8"/>
  <c r="P150" i="8"/>
  <c r="N150" i="8"/>
  <c r="M150" i="8"/>
  <c r="L150" i="8"/>
  <c r="O150" i="8" s="1"/>
  <c r="J148" i="8"/>
  <c r="I146" i="8"/>
  <c r="K146" i="8" s="1"/>
  <c r="I145" i="8"/>
  <c r="I143" i="8" s="1"/>
  <c r="I144" i="8"/>
  <c r="N140" i="8"/>
  <c r="N138" i="8" s="1"/>
  <c r="M140" i="8"/>
  <c r="M138" i="8" s="1"/>
  <c r="P138" i="8" s="1"/>
  <c r="L140" i="8"/>
  <c r="O140" i="8" s="1"/>
  <c r="P139" i="8"/>
  <c r="O139" i="8"/>
  <c r="N137" i="8"/>
  <c r="N135" i="8" s="1"/>
  <c r="M137" i="8"/>
  <c r="M135" i="8" s="1"/>
  <c r="P135" i="8" s="1"/>
  <c r="L137" i="8"/>
  <c r="O137" i="8" s="1"/>
  <c r="P136" i="8"/>
  <c r="O136" i="8"/>
  <c r="P133" i="8"/>
  <c r="N133" i="8"/>
  <c r="M133" i="8"/>
  <c r="L133" i="8"/>
  <c r="O133" i="8" s="1"/>
  <c r="J130" i="8"/>
  <c r="N127" i="8"/>
  <c r="N125" i="8" s="1"/>
  <c r="M127" i="8"/>
  <c r="M125" i="8" s="1"/>
  <c r="P125" i="8" s="1"/>
  <c r="L127" i="8"/>
  <c r="O127" i="8" s="1"/>
  <c r="P126" i="8"/>
  <c r="O126" i="8"/>
  <c r="N124" i="8"/>
  <c r="N122" i="8" s="1"/>
  <c r="M124" i="8"/>
  <c r="L124" i="8"/>
  <c r="L122" i="8" s="1"/>
  <c r="O122" i="8" s="1"/>
  <c r="P123" i="8"/>
  <c r="O123" i="8"/>
  <c r="P120" i="8"/>
  <c r="N120" i="8"/>
  <c r="M120" i="8"/>
  <c r="L120" i="8"/>
  <c r="O120" i="8" s="1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I99" i="8"/>
  <c r="K99" i="8" s="1"/>
  <c r="J98" i="8"/>
  <c r="I98" i="8"/>
  <c r="K98" i="8" s="1"/>
  <c r="N96" i="8"/>
  <c r="N94" i="8" s="1"/>
  <c r="M96" i="8"/>
  <c r="P96" i="8" s="1"/>
  <c r="L96" i="8"/>
  <c r="O96" i="8" s="1"/>
  <c r="P95" i="8"/>
  <c r="O95" i="8"/>
  <c r="N93" i="8"/>
  <c r="N91" i="8" s="1"/>
  <c r="M93" i="8"/>
  <c r="L93" i="8"/>
  <c r="P92" i="8"/>
  <c r="O92" i="8"/>
  <c r="N89" i="8"/>
  <c r="M89" i="8"/>
  <c r="P89" i="8" s="1"/>
  <c r="L89" i="8"/>
  <c r="O89" i="8" s="1"/>
  <c r="J87" i="8"/>
  <c r="J86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76" i="8"/>
  <c r="N74" i="8"/>
  <c r="N72" i="8" s="1"/>
  <c r="M74" i="8"/>
  <c r="M72" i="8" s="1"/>
  <c r="P72" i="8" s="1"/>
  <c r="L74" i="8"/>
  <c r="O74" i="8" s="1"/>
  <c r="P73" i="8"/>
  <c r="O73" i="8"/>
  <c r="N71" i="8"/>
  <c r="N69" i="8" s="1"/>
  <c r="M71" i="8"/>
  <c r="L71" i="8"/>
  <c r="O71" i="8" s="1"/>
  <c r="P70" i="8"/>
  <c r="O70" i="8"/>
  <c r="O67" i="8"/>
  <c r="N67" i="8"/>
  <c r="M67" i="8"/>
  <c r="P67" i="8" s="1"/>
  <c r="L67" i="8"/>
  <c r="J65" i="8"/>
  <c r="J64" i="8"/>
  <c r="N61" i="8"/>
  <c r="N59" i="8" s="1"/>
  <c r="M61" i="8"/>
  <c r="M59" i="8" s="1"/>
  <c r="L61" i="8"/>
  <c r="L59" i="8" s="1"/>
  <c r="P60" i="8"/>
  <c r="O60" i="8"/>
  <c r="N58" i="8"/>
  <c r="M58" i="8"/>
  <c r="L58" i="8"/>
  <c r="L56" i="8" s="1"/>
  <c r="P57" i="8"/>
  <c r="O57" i="8"/>
  <c r="O54" i="8"/>
  <c r="N54" i="8"/>
  <c r="M54" i="8"/>
  <c r="P54" i="8" s="1"/>
  <c r="L54" i="8"/>
  <c r="N49" i="8"/>
  <c r="M49" i="8"/>
  <c r="M47" i="8" s="1"/>
  <c r="P47" i="8" s="1"/>
  <c r="L49" i="8"/>
  <c r="O49" i="8" s="1"/>
  <c r="P48" i="8"/>
  <c r="O48" i="8"/>
  <c r="N46" i="8"/>
  <c r="N44" i="8" s="1"/>
  <c r="M46" i="8"/>
  <c r="L46" i="8"/>
  <c r="L44" i="8" s="1"/>
  <c r="P45" i="8"/>
  <c r="O45" i="8"/>
  <c r="O42" i="8"/>
  <c r="N42" i="8"/>
  <c r="M42" i="8"/>
  <c r="P42" i="8" s="1"/>
  <c r="L42" i="8"/>
  <c r="P36" i="8"/>
  <c r="N36" i="8"/>
  <c r="M36" i="8"/>
  <c r="M34" i="8" s="1"/>
  <c r="P34" i="8" s="1"/>
  <c r="N35" i="8"/>
  <c r="N34" i="8" s="1"/>
  <c r="M35" i="8"/>
  <c r="P35" i="8" s="1"/>
  <c r="L35" i="8"/>
  <c r="N33" i="8"/>
  <c r="M33" i="8"/>
  <c r="P33" i="8" s="1"/>
  <c r="P32" i="8"/>
  <c r="N32" i="8"/>
  <c r="M32" i="8"/>
  <c r="L32" i="8"/>
  <c r="O32" i="8" s="1"/>
  <c r="M31" i="8"/>
  <c r="P31" i="8" s="1"/>
  <c r="N30" i="8"/>
  <c r="M29" i="8"/>
  <c r="P29" i="8" s="1"/>
  <c r="P25" i="8"/>
  <c r="N25" i="8"/>
  <c r="N19" i="8" s="1"/>
  <c r="M25" i="8"/>
  <c r="L25" i="8"/>
  <c r="O25" i="8" s="1"/>
  <c r="O22" i="8"/>
  <c r="N22" i="8"/>
  <c r="M22" i="8"/>
  <c r="P22" i="8" s="1"/>
  <c r="L22" i="8"/>
  <c r="L19" i="8"/>
  <c r="O19" i="8" s="1"/>
  <c r="M15" i="8"/>
  <c r="P15" i="8" s="1"/>
  <c r="N12" i="8"/>
  <c r="L12" i="8"/>
  <c r="O12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M808" i="7"/>
  <c r="P808" i="7" s="1"/>
  <c r="L808" i="7"/>
  <c r="M807" i="7"/>
  <c r="P807" i="7" s="1"/>
  <c r="L807" i="7"/>
  <c r="N806" i="7"/>
  <c r="M806" i="7"/>
  <c r="P806" i="7" s="1"/>
  <c r="L806" i="7"/>
  <c r="O806" i="7" s="1"/>
  <c r="P805" i="7"/>
  <c r="M805" i="7"/>
  <c r="K804" i="7"/>
  <c r="J804" i="7"/>
  <c r="K802" i="7"/>
  <c r="J801" i="7"/>
  <c r="J800" i="7"/>
  <c r="J785" i="7" s="1"/>
  <c r="I800" i="7"/>
  <c r="K800" i="7" s="1"/>
  <c r="P798" i="7"/>
  <c r="O798" i="7"/>
  <c r="P797" i="7"/>
  <c r="O797" i="7"/>
  <c r="P796" i="7"/>
  <c r="O796" i="7"/>
  <c r="N796" i="7"/>
  <c r="M796" i="7"/>
  <c r="L796" i="7"/>
  <c r="P791" i="7"/>
  <c r="N791" i="7"/>
  <c r="L791" i="7"/>
  <c r="L788" i="7" s="1"/>
  <c r="P790" i="7"/>
  <c r="O790" i="7"/>
  <c r="N789" i="7"/>
  <c r="M789" i="7"/>
  <c r="P789" i="7" s="1"/>
  <c r="N788" i="7"/>
  <c r="M788" i="7"/>
  <c r="P788" i="7" s="1"/>
  <c r="N787" i="7"/>
  <c r="N786" i="7" s="1"/>
  <c r="M787" i="7"/>
  <c r="P787" i="7" s="1"/>
  <c r="L787" i="7"/>
  <c r="O787" i="7" s="1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N772" i="7" s="1"/>
  <c r="P774" i="7"/>
  <c r="O774" i="7"/>
  <c r="P773" i="7"/>
  <c r="O773" i="7"/>
  <c r="N773" i="7"/>
  <c r="M773" i="7"/>
  <c r="L773" i="7"/>
  <c r="O772" i="7"/>
  <c r="M772" i="7"/>
  <c r="L772" i="7"/>
  <c r="N771" i="7"/>
  <c r="N770" i="7" s="1"/>
  <c r="M771" i="7"/>
  <c r="P771" i="7" s="1"/>
  <c r="L771" i="7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N756" i="7" s="1"/>
  <c r="P758" i="7"/>
  <c r="O758" i="7"/>
  <c r="P757" i="7"/>
  <c r="N757" i="7"/>
  <c r="M757" i="7"/>
  <c r="L757" i="7"/>
  <c r="O757" i="7" s="1"/>
  <c r="O756" i="7"/>
  <c r="M756" i="7"/>
  <c r="L756" i="7"/>
  <c r="P755" i="7"/>
  <c r="N755" i="7"/>
  <c r="N754" i="7" s="1"/>
  <c r="M755" i="7"/>
  <c r="L755" i="7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N739" i="7" s="1"/>
  <c r="P741" i="7"/>
  <c r="O741" i="7"/>
  <c r="P740" i="7"/>
  <c r="N740" i="7"/>
  <c r="M740" i="7"/>
  <c r="L740" i="7"/>
  <c r="O740" i="7" s="1"/>
  <c r="O739" i="7"/>
  <c r="M739" i="7"/>
  <c r="L739" i="7"/>
  <c r="P738" i="7"/>
  <c r="N738" i="7"/>
  <c r="N737" i="7" s="1"/>
  <c r="M738" i="7"/>
  <c r="L738" i="7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N688" i="7" s="1"/>
  <c r="L690" i="7"/>
  <c r="L688" i="7" s="1"/>
  <c r="M688" i="7"/>
  <c r="P688" i="7" s="1"/>
  <c r="N687" i="7"/>
  <c r="M687" i="7"/>
  <c r="P687" i="7" s="1"/>
  <c r="O686" i="7"/>
  <c r="N686" i="7"/>
  <c r="N685" i="7" s="1"/>
  <c r="M686" i="7"/>
  <c r="P686" i="7" s="1"/>
  <c r="L686" i="7"/>
  <c r="J679" i="7"/>
  <c r="J678" i="7"/>
  <c r="I678" i="7"/>
  <c r="K678" i="7" s="1"/>
  <c r="J675" i="7"/>
  <c r="J669" i="7" s="1"/>
  <c r="J654" i="7" s="1"/>
  <c r="I671" i="7"/>
  <c r="K671" i="7" s="1"/>
  <c r="I670" i="7"/>
  <c r="K670" i="7" s="1"/>
  <c r="I669" i="7"/>
  <c r="K674" i="7" s="1"/>
  <c r="P667" i="7"/>
  <c r="O667" i="7"/>
  <c r="P666" i="7"/>
  <c r="O666" i="7"/>
  <c r="N665" i="7"/>
  <c r="M665" i="7"/>
  <c r="P665" i="7" s="1"/>
  <c r="L665" i="7"/>
  <c r="O665" i="7" s="1"/>
  <c r="P660" i="7"/>
  <c r="N660" i="7"/>
  <c r="L660" i="7"/>
  <c r="L658" i="7" s="1"/>
  <c r="O658" i="7" s="1"/>
  <c r="P659" i="7"/>
  <c r="O659" i="7"/>
  <c r="P658" i="7"/>
  <c r="N658" i="7"/>
  <c r="M658" i="7"/>
  <c r="N657" i="7"/>
  <c r="M657" i="7"/>
  <c r="P657" i="7" s="1"/>
  <c r="P656" i="7"/>
  <c r="N656" i="7"/>
  <c r="N655" i="7" s="1"/>
  <c r="M656" i="7"/>
  <c r="L656" i="7"/>
  <c r="O656" i="7" s="1"/>
  <c r="M655" i="7"/>
  <c r="P655" i="7" s="1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P634" i="7"/>
  <c r="N634" i="7"/>
  <c r="N631" i="7" s="1"/>
  <c r="N629" i="7" s="1"/>
  <c r="L634" i="7"/>
  <c r="O634" i="7" s="1"/>
  <c r="P633" i="7"/>
  <c r="O633" i="7"/>
  <c r="P632" i="7"/>
  <c r="N632" i="7"/>
  <c r="M632" i="7"/>
  <c r="M631" i="7"/>
  <c r="P631" i="7" s="1"/>
  <c r="P630" i="7"/>
  <c r="N630" i="7"/>
  <c r="M630" i="7"/>
  <c r="M629" i="7" s="1"/>
  <c r="P629" i="7" s="1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4" i="7"/>
  <c r="I594" i="7"/>
  <c r="K594" i="7" s="1"/>
  <c r="I593" i="7"/>
  <c r="I592" i="7" s="1"/>
  <c r="K592" i="7" s="1"/>
  <c r="J592" i="7"/>
  <c r="J583" i="7"/>
  <c r="J582" i="7"/>
  <c r="J576" i="7" s="1"/>
  <c r="J559" i="7" s="1"/>
  <c r="J543" i="7" s="1"/>
  <c r="J577" i="7"/>
  <c r="I577" i="7"/>
  <c r="K577" i="7" s="1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M555" i="7"/>
  <c r="P549" i="7"/>
  <c r="N549" i="7"/>
  <c r="L549" i="7"/>
  <c r="O549" i="7" s="1"/>
  <c r="P548" i="7"/>
  <c r="O548" i="7"/>
  <c r="N547" i="7"/>
  <c r="M547" i="7"/>
  <c r="P547" i="7" s="1"/>
  <c r="P546" i="7"/>
  <c r="N546" i="7"/>
  <c r="N544" i="7" s="1"/>
  <c r="M546" i="7"/>
  <c r="O545" i="7"/>
  <c r="N545" i="7"/>
  <c r="M545" i="7"/>
  <c r="L545" i="7"/>
  <c r="I542" i="7"/>
  <c r="K542" i="7" s="1"/>
  <c r="I541" i="7"/>
  <c r="K541" i="7" s="1"/>
  <c r="I540" i="7"/>
  <c r="K540" i="7" s="1"/>
  <c r="I539" i="7"/>
  <c r="I538" i="7"/>
  <c r="K538" i="7" s="1"/>
  <c r="I537" i="7"/>
  <c r="I522" i="7" s="1"/>
  <c r="K522" i="7" s="1"/>
  <c r="P535" i="7"/>
  <c r="L535" i="7"/>
  <c r="L533" i="7" s="1"/>
  <c r="O533" i="7" s="1"/>
  <c r="P534" i="7"/>
  <c r="O534" i="7"/>
  <c r="P533" i="7"/>
  <c r="N533" i="7"/>
  <c r="M533" i="7"/>
  <c r="P528" i="7"/>
  <c r="N528" i="7"/>
  <c r="L528" i="7"/>
  <c r="P527" i="7"/>
  <c r="O527" i="7"/>
  <c r="N526" i="7"/>
  <c r="M526" i="7"/>
  <c r="P526" i="7" s="1"/>
  <c r="N525" i="7"/>
  <c r="M525" i="7"/>
  <c r="P525" i="7" s="1"/>
  <c r="N524" i="7"/>
  <c r="N523" i="7" s="1"/>
  <c r="M524" i="7"/>
  <c r="P524" i="7" s="1"/>
  <c r="L524" i="7"/>
  <c r="O524" i="7" s="1"/>
  <c r="P523" i="7"/>
  <c r="M523" i="7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N504" i="7" s="1"/>
  <c r="P506" i="7"/>
  <c r="O506" i="7"/>
  <c r="O505" i="7"/>
  <c r="N505" i="7"/>
  <c r="M505" i="7"/>
  <c r="P505" i="7" s="1"/>
  <c r="L505" i="7"/>
  <c r="P504" i="7"/>
  <c r="M504" i="7"/>
  <c r="M502" i="7" s="1"/>
  <c r="P502" i="7" s="1"/>
  <c r="L504" i="7"/>
  <c r="O504" i="7" s="1"/>
  <c r="O503" i="7"/>
  <c r="N503" i="7"/>
  <c r="M503" i="7"/>
  <c r="P503" i="7" s="1"/>
  <c r="L503" i="7"/>
  <c r="L502" i="7" s="1"/>
  <c r="O502" i="7" s="1"/>
  <c r="N502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P472" i="7"/>
  <c r="N472" i="7"/>
  <c r="N469" i="7" s="1"/>
  <c r="L472" i="7"/>
  <c r="O472" i="7" s="1"/>
  <c r="P471" i="7"/>
  <c r="O471" i="7"/>
  <c r="N470" i="7"/>
  <c r="M470" i="7"/>
  <c r="P470" i="7" s="1"/>
  <c r="P469" i="7"/>
  <c r="M469" i="7"/>
  <c r="M467" i="7" s="1"/>
  <c r="P467" i="7" s="1"/>
  <c r="P468" i="7"/>
  <c r="O468" i="7"/>
  <c r="N468" i="7"/>
  <c r="M468" i="7"/>
  <c r="L468" i="7"/>
  <c r="N467" i="7"/>
  <c r="J466" i="7"/>
  <c r="I466" i="7"/>
  <c r="K466" i="7" s="1"/>
  <c r="J465" i="7"/>
  <c r="I465" i="7"/>
  <c r="K465" i="7" s="1"/>
  <c r="I464" i="7"/>
  <c r="I463" i="7"/>
  <c r="I462" i="7"/>
  <c r="I460" i="7"/>
  <c r="I442" i="7" s="1"/>
  <c r="K442" i="7" s="1"/>
  <c r="K458" i="7"/>
  <c r="P456" i="7"/>
  <c r="L456" i="7"/>
  <c r="P455" i="7"/>
  <c r="O455" i="7"/>
  <c r="N454" i="7"/>
  <c r="M454" i="7"/>
  <c r="P454" i="7" s="1"/>
  <c r="P449" i="7"/>
  <c r="N449" i="7"/>
  <c r="L449" i="7"/>
  <c r="L447" i="7" s="1"/>
  <c r="O447" i="7" s="1"/>
  <c r="P448" i="7"/>
  <c r="O448" i="7"/>
  <c r="N447" i="7"/>
  <c r="M447" i="7"/>
  <c r="P447" i="7" s="1"/>
  <c r="N446" i="7"/>
  <c r="N444" i="7" s="1"/>
  <c r="M446" i="7"/>
  <c r="P446" i="7" s="1"/>
  <c r="P445" i="7"/>
  <c r="N445" i="7"/>
  <c r="M445" i="7"/>
  <c r="M444" i="7" s="1"/>
  <c r="P444" i="7" s="1"/>
  <c r="L445" i="7"/>
  <c r="O445" i="7" s="1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I433" i="7" s="1"/>
  <c r="J434" i="7"/>
  <c r="P431" i="7"/>
  <c r="L431" i="7"/>
  <c r="P430" i="7"/>
  <c r="O430" i="7"/>
  <c r="P429" i="7"/>
  <c r="N429" i="7"/>
  <c r="M429" i="7"/>
  <c r="P424" i="7"/>
  <c r="N424" i="7"/>
  <c r="L424" i="7"/>
  <c r="O424" i="7" s="1"/>
  <c r="P423" i="7"/>
  <c r="O423" i="7"/>
  <c r="N422" i="7"/>
  <c r="M422" i="7"/>
  <c r="P422" i="7" s="1"/>
  <c r="N421" i="7"/>
  <c r="N419" i="7" s="1"/>
  <c r="M421" i="7"/>
  <c r="P421" i="7" s="1"/>
  <c r="N420" i="7"/>
  <c r="M420" i="7"/>
  <c r="M419" i="7" s="1"/>
  <c r="L420" i="7"/>
  <c r="J418" i="7"/>
  <c r="K413" i="7"/>
  <c r="K412" i="7"/>
  <c r="N410" i="7"/>
  <c r="N408" i="7" s="1"/>
  <c r="M410" i="7"/>
  <c r="P410" i="7" s="1"/>
  <c r="L410" i="7"/>
  <c r="P409" i="7"/>
  <c r="O409" i="7"/>
  <c r="N407" i="7"/>
  <c r="N405" i="7" s="1"/>
  <c r="M407" i="7"/>
  <c r="L407" i="7"/>
  <c r="L405" i="7" s="1"/>
  <c r="O405" i="7" s="1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L397" i="7"/>
  <c r="O397" i="7" s="1"/>
  <c r="P396" i="7"/>
  <c r="O396" i="7"/>
  <c r="N394" i="7"/>
  <c r="M394" i="7"/>
  <c r="L394" i="7"/>
  <c r="O394" i="7" s="1"/>
  <c r="P393" i="7"/>
  <c r="O393" i="7"/>
  <c r="P390" i="7"/>
  <c r="N390" i="7"/>
  <c r="M390" i="7"/>
  <c r="L390" i="7"/>
  <c r="O390" i="7" s="1"/>
  <c r="K388" i="7"/>
  <c r="J388" i="7"/>
  <c r="I388" i="7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P352" i="7"/>
  <c r="O352" i="7"/>
  <c r="N350" i="7"/>
  <c r="N348" i="7" s="1"/>
  <c r="M350" i="7"/>
  <c r="L350" i="7"/>
  <c r="L348" i="7" s="1"/>
  <c r="P349" i="7"/>
  <c r="O349" i="7"/>
  <c r="N346" i="7"/>
  <c r="M346" i="7"/>
  <c r="L346" i="7"/>
  <c r="J343" i="7"/>
  <c r="J342" i="7"/>
  <c r="J341" i="7"/>
  <c r="J340" i="7"/>
  <c r="I340" i="7"/>
  <c r="J338" i="7"/>
  <c r="I338" i="7"/>
  <c r="N336" i="7"/>
  <c r="M336" i="7"/>
  <c r="L336" i="7"/>
  <c r="P335" i="7"/>
  <c r="O335" i="7"/>
  <c r="N333" i="7"/>
  <c r="N331" i="7" s="1"/>
  <c r="M333" i="7"/>
  <c r="L333" i="7"/>
  <c r="L331" i="7" s="1"/>
  <c r="P332" i="7"/>
  <c r="O332" i="7"/>
  <c r="P329" i="7"/>
  <c r="N329" i="7"/>
  <c r="M329" i="7"/>
  <c r="L329" i="7"/>
  <c r="O329" i="7" s="1"/>
  <c r="I327" i="7"/>
  <c r="I325" i="7"/>
  <c r="I314" i="7" s="1"/>
  <c r="K314" i="7" s="1"/>
  <c r="N323" i="7"/>
  <c r="N321" i="7" s="1"/>
  <c r="M323" i="7"/>
  <c r="M321" i="7" s="1"/>
  <c r="P321" i="7" s="1"/>
  <c r="L323" i="7"/>
  <c r="L321" i="7" s="1"/>
  <c r="O321" i="7" s="1"/>
  <c r="P322" i="7"/>
  <c r="O322" i="7"/>
  <c r="N320" i="7"/>
  <c r="N318" i="7" s="1"/>
  <c r="M320" i="7"/>
  <c r="L320" i="7"/>
  <c r="L318" i="7" s="1"/>
  <c r="O318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P305" i="7"/>
  <c r="O305" i="7"/>
  <c r="N303" i="7"/>
  <c r="M303" i="7"/>
  <c r="P303" i="7" s="1"/>
  <c r="L303" i="7"/>
  <c r="P302" i="7"/>
  <c r="O302" i="7"/>
  <c r="P299" i="7"/>
  <c r="N299" i="7"/>
  <c r="M299" i="7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K287" i="7" s="1"/>
  <c r="N285" i="7"/>
  <c r="N283" i="7" s="1"/>
  <c r="M285" i="7"/>
  <c r="M283" i="7" s="1"/>
  <c r="P283" i="7" s="1"/>
  <c r="L285" i="7"/>
  <c r="L283" i="7" s="1"/>
  <c r="O283" i="7" s="1"/>
  <c r="P284" i="7"/>
  <c r="O284" i="7"/>
  <c r="N282" i="7"/>
  <c r="N280" i="7" s="1"/>
  <c r="M282" i="7"/>
  <c r="M280" i="7" s="1"/>
  <c r="P280" i="7" s="1"/>
  <c r="L282" i="7"/>
  <c r="P281" i="7"/>
  <c r="O281" i="7"/>
  <c r="P278" i="7"/>
  <c r="O278" i="7"/>
  <c r="N278" i="7"/>
  <c r="M278" i="7"/>
  <c r="L278" i="7"/>
  <c r="J276" i="7"/>
  <c r="I271" i="7"/>
  <c r="I260" i="7" s="1"/>
  <c r="N269" i="7"/>
  <c r="M269" i="7"/>
  <c r="M267" i="7" s="1"/>
  <c r="P267" i="7" s="1"/>
  <c r="L269" i="7"/>
  <c r="L267" i="7" s="1"/>
  <c r="O267" i="7" s="1"/>
  <c r="P268" i="7"/>
  <c r="O268" i="7"/>
  <c r="N266" i="7"/>
  <c r="N264" i="7" s="1"/>
  <c r="M266" i="7"/>
  <c r="L266" i="7"/>
  <c r="L264" i="7" s="1"/>
  <c r="P265" i="7"/>
  <c r="O265" i="7"/>
  <c r="O262" i="7"/>
  <c r="N262" i="7"/>
  <c r="M262" i="7"/>
  <c r="P262" i="7" s="1"/>
  <c r="L262" i="7"/>
  <c r="J260" i="7"/>
  <c r="K258" i="7"/>
  <c r="K257" i="7"/>
  <c r="K255" i="7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K236" i="7"/>
  <c r="J236" i="7"/>
  <c r="I236" i="7"/>
  <c r="J235" i="7"/>
  <c r="I235" i="7"/>
  <c r="K235" i="7" s="1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M186" i="7"/>
  <c r="M184" i="7" s="1"/>
  <c r="L186" i="7"/>
  <c r="L184" i="7" s="1"/>
  <c r="P185" i="7"/>
  <c r="O185" i="7"/>
  <c r="O182" i="7"/>
  <c r="N182" i="7"/>
  <c r="M182" i="7"/>
  <c r="P182" i="7" s="1"/>
  <c r="L182" i="7"/>
  <c r="J177" i="7"/>
  <c r="I176" i="7"/>
  <c r="K176" i="7" s="1"/>
  <c r="J174" i="7"/>
  <c r="N173" i="7"/>
  <c r="N171" i="7" s="1"/>
  <c r="M173" i="7"/>
  <c r="P173" i="7" s="1"/>
  <c r="L173" i="7"/>
  <c r="O173" i="7" s="1"/>
  <c r="P172" i="7"/>
  <c r="O172" i="7"/>
  <c r="N170" i="7"/>
  <c r="M170" i="7"/>
  <c r="L170" i="7"/>
  <c r="L168" i="7" s="1"/>
  <c r="P169" i="7"/>
  <c r="O169" i="7"/>
  <c r="N166" i="7"/>
  <c r="M166" i="7"/>
  <c r="L166" i="7"/>
  <c r="J164" i="7"/>
  <c r="I159" i="7"/>
  <c r="I148" i="7" s="1"/>
  <c r="K148" i="7" s="1"/>
  <c r="N157" i="7"/>
  <c r="N155" i="7" s="1"/>
  <c r="M157" i="7"/>
  <c r="P157" i="7" s="1"/>
  <c r="L157" i="7"/>
  <c r="P156" i="7"/>
  <c r="O156" i="7"/>
  <c r="N154" i="7"/>
  <c r="M154" i="7"/>
  <c r="L154" i="7"/>
  <c r="P153" i="7"/>
  <c r="O153" i="7"/>
  <c r="N150" i="7"/>
  <c r="M150" i="7"/>
  <c r="P150" i="7" s="1"/>
  <c r="L150" i="7"/>
  <c r="O150" i="7" s="1"/>
  <c r="J148" i="7"/>
  <c r="I146" i="7"/>
  <c r="I130" i="7" s="1"/>
  <c r="K130" i="7" s="1"/>
  <c r="I145" i="7"/>
  <c r="I144" i="7"/>
  <c r="K144" i="7" s="1"/>
  <c r="N140" i="7"/>
  <c r="N138" i="7" s="1"/>
  <c r="M140" i="7"/>
  <c r="P140" i="7" s="1"/>
  <c r="L140" i="7"/>
  <c r="O140" i="7" s="1"/>
  <c r="P139" i="7"/>
  <c r="O139" i="7"/>
  <c r="N137" i="7"/>
  <c r="N135" i="7" s="1"/>
  <c r="M137" i="7"/>
  <c r="P137" i="7" s="1"/>
  <c r="L137" i="7"/>
  <c r="O137" i="7" s="1"/>
  <c r="P136" i="7"/>
  <c r="O136" i="7"/>
  <c r="P133" i="7"/>
  <c r="N133" i="7"/>
  <c r="M133" i="7"/>
  <c r="L133" i="7"/>
  <c r="J130" i="7"/>
  <c r="N127" i="7"/>
  <c r="N125" i="7" s="1"/>
  <c r="M127" i="7"/>
  <c r="P127" i="7" s="1"/>
  <c r="L127" i="7"/>
  <c r="L125" i="7" s="1"/>
  <c r="O125" i="7" s="1"/>
  <c r="P126" i="7"/>
  <c r="O126" i="7"/>
  <c r="N124" i="7"/>
  <c r="N122" i="7" s="1"/>
  <c r="M124" i="7"/>
  <c r="P124" i="7" s="1"/>
  <c r="L124" i="7"/>
  <c r="O124" i="7" s="1"/>
  <c r="P123" i="7"/>
  <c r="O123" i="7"/>
  <c r="O120" i="7"/>
  <c r="N120" i="7"/>
  <c r="M120" i="7"/>
  <c r="P120" i="7" s="1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J86" i="7" s="1"/>
  <c r="I98" i="7"/>
  <c r="I86" i="7" s="1"/>
  <c r="K86" i="7" s="1"/>
  <c r="N96" i="7"/>
  <c r="N94" i="7" s="1"/>
  <c r="M96" i="7"/>
  <c r="P96" i="7" s="1"/>
  <c r="L96" i="7"/>
  <c r="O96" i="7" s="1"/>
  <c r="P95" i="7"/>
  <c r="O95" i="7"/>
  <c r="N93" i="7"/>
  <c r="N91" i="7" s="1"/>
  <c r="M93" i="7"/>
  <c r="L93" i="7"/>
  <c r="L91" i="7" s="1"/>
  <c r="P92" i="7"/>
  <c r="O92" i="7"/>
  <c r="P89" i="7"/>
  <c r="O89" i="7"/>
  <c r="N89" i="7"/>
  <c r="M89" i="7"/>
  <c r="L89" i="7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K78" i="7" s="1"/>
  <c r="J77" i="7"/>
  <c r="J65" i="7" s="1"/>
  <c r="J76" i="7"/>
  <c r="N74" i="7"/>
  <c r="N72" i="7" s="1"/>
  <c r="M74" i="7"/>
  <c r="M72" i="7" s="1"/>
  <c r="P72" i="7" s="1"/>
  <c r="L74" i="7"/>
  <c r="O74" i="7" s="1"/>
  <c r="P73" i="7"/>
  <c r="O73" i="7"/>
  <c r="N71" i="7"/>
  <c r="N69" i="7" s="1"/>
  <c r="M71" i="7"/>
  <c r="P71" i="7" s="1"/>
  <c r="L71" i="7"/>
  <c r="P70" i="7"/>
  <c r="O70" i="7"/>
  <c r="P67" i="7"/>
  <c r="O67" i="7"/>
  <c r="N67" i="7"/>
  <c r="M67" i="7"/>
  <c r="L67" i="7"/>
  <c r="J64" i="7"/>
  <c r="N61" i="7"/>
  <c r="M61" i="7"/>
  <c r="M59" i="7" s="1"/>
  <c r="P59" i="7" s="1"/>
  <c r="L61" i="7"/>
  <c r="L59" i="7" s="1"/>
  <c r="O59" i="7" s="1"/>
  <c r="P60" i="7"/>
  <c r="O60" i="7"/>
  <c r="N58" i="7"/>
  <c r="M58" i="7"/>
  <c r="L58" i="7"/>
  <c r="L56" i="7" s="1"/>
  <c r="P57" i="7"/>
  <c r="O57" i="7"/>
  <c r="N54" i="7"/>
  <c r="M54" i="7"/>
  <c r="P54" i="7" s="1"/>
  <c r="L54" i="7"/>
  <c r="O54" i="7" s="1"/>
  <c r="N49" i="7"/>
  <c r="M49" i="7"/>
  <c r="P49" i="7" s="1"/>
  <c r="L49" i="7"/>
  <c r="P48" i="7"/>
  <c r="O48" i="7"/>
  <c r="N46" i="7"/>
  <c r="N44" i="7" s="1"/>
  <c r="M46" i="7"/>
  <c r="M44" i="7" s="1"/>
  <c r="L46" i="7"/>
  <c r="L44" i="7" s="1"/>
  <c r="P45" i="7"/>
  <c r="O45" i="7"/>
  <c r="P42" i="7"/>
  <c r="N42" i="7"/>
  <c r="M42" i="7"/>
  <c r="L42" i="7"/>
  <c r="O42" i="7" s="1"/>
  <c r="N36" i="7"/>
  <c r="M36" i="7"/>
  <c r="P36" i="7" s="1"/>
  <c r="P35" i="7"/>
  <c r="N35" i="7"/>
  <c r="M35" i="7"/>
  <c r="L35" i="7"/>
  <c r="N34" i="7"/>
  <c r="M34" i="7"/>
  <c r="P34" i="7" s="1"/>
  <c r="P33" i="7"/>
  <c r="N33" i="7"/>
  <c r="N30" i="7" s="1"/>
  <c r="M33" i="7"/>
  <c r="N32" i="7"/>
  <c r="M32" i="7"/>
  <c r="P32" i="7" s="1"/>
  <c r="L32" i="7"/>
  <c r="N31" i="7"/>
  <c r="M31" i="7"/>
  <c r="P31" i="7" s="1"/>
  <c r="M30" i="7"/>
  <c r="P30" i="7" s="1"/>
  <c r="N29" i="7"/>
  <c r="N28" i="7"/>
  <c r="O25" i="7"/>
  <c r="N25" i="7"/>
  <c r="M25" i="7"/>
  <c r="P25" i="7" s="1"/>
  <c r="L25" i="7"/>
  <c r="P22" i="7"/>
  <c r="O22" i="7"/>
  <c r="N22" i="7"/>
  <c r="M22" i="7"/>
  <c r="L22" i="7"/>
  <c r="O19" i="7"/>
  <c r="N19" i="7"/>
  <c r="M19" i="7"/>
  <c r="P19" i="7" s="1"/>
  <c r="L19" i="7"/>
  <c r="N15" i="7"/>
  <c r="L15" i="7"/>
  <c r="N12" i="7"/>
  <c r="M12" i="7"/>
  <c r="P12" i="7" s="1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P817" i="6"/>
  <c r="O817" i="6"/>
  <c r="P816" i="6"/>
  <c r="O816" i="6"/>
  <c r="O815" i="6"/>
  <c r="N815" i="6"/>
  <c r="M815" i="6"/>
  <c r="P815" i="6" s="1"/>
  <c r="L815" i="6"/>
  <c r="P810" i="6"/>
  <c r="O810" i="6"/>
  <c r="N810" i="6"/>
  <c r="P809" i="6"/>
  <c r="O809" i="6"/>
  <c r="M808" i="6"/>
  <c r="P808" i="6" s="1"/>
  <c r="L808" i="6"/>
  <c r="O808" i="6" s="1"/>
  <c r="P807" i="6"/>
  <c r="M807" i="6"/>
  <c r="M805" i="6" s="1"/>
  <c r="L807" i="6"/>
  <c r="O807" i="6" s="1"/>
  <c r="P806" i="6"/>
  <c r="O806" i="6"/>
  <c r="N806" i="6"/>
  <c r="M806" i="6"/>
  <c r="L806" i="6"/>
  <c r="P805" i="6"/>
  <c r="K804" i="6"/>
  <c r="J804" i="6"/>
  <c r="K802" i="6"/>
  <c r="J801" i="6"/>
  <c r="J800" i="6"/>
  <c r="J785" i="6" s="1"/>
  <c r="I800" i="6"/>
  <c r="P798" i="6"/>
  <c r="O798" i="6"/>
  <c r="P797" i="6"/>
  <c r="O797" i="6"/>
  <c r="N796" i="6"/>
  <c r="M796" i="6"/>
  <c r="P796" i="6" s="1"/>
  <c r="L796" i="6"/>
  <c r="O796" i="6" s="1"/>
  <c r="P791" i="6"/>
  <c r="N791" i="6"/>
  <c r="N788" i="6" s="1"/>
  <c r="N786" i="6" s="1"/>
  <c r="L791" i="6"/>
  <c r="L788" i="6" s="1"/>
  <c r="O788" i="6" s="1"/>
  <c r="P790" i="6"/>
  <c r="O790" i="6"/>
  <c r="N789" i="6"/>
  <c r="M789" i="6"/>
  <c r="P789" i="6" s="1"/>
  <c r="P788" i="6"/>
  <c r="M788" i="6"/>
  <c r="P787" i="6"/>
  <c r="O787" i="6"/>
  <c r="N787" i="6"/>
  <c r="M787" i="6"/>
  <c r="M786" i="6" s="1"/>
  <c r="L787" i="6"/>
  <c r="P786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N773" i="6"/>
  <c r="M773" i="6"/>
  <c r="P773" i="6" s="1"/>
  <c r="L773" i="6"/>
  <c r="O773" i="6" s="1"/>
  <c r="N772" i="6"/>
  <c r="N770" i="6" s="1"/>
  <c r="M772" i="6"/>
  <c r="P772" i="6" s="1"/>
  <c r="L772" i="6"/>
  <c r="O772" i="6" s="1"/>
  <c r="P771" i="6"/>
  <c r="N771" i="6"/>
  <c r="M771" i="6"/>
  <c r="L771" i="6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N756" i="6" s="1"/>
  <c r="N754" i="6" s="1"/>
  <c r="P758" i="6"/>
  <c r="O758" i="6"/>
  <c r="N757" i="6"/>
  <c r="M757" i="6"/>
  <c r="P757" i="6" s="1"/>
  <c r="L757" i="6"/>
  <c r="O757" i="6" s="1"/>
  <c r="M756" i="6"/>
  <c r="P756" i="6" s="1"/>
  <c r="L756" i="6"/>
  <c r="O756" i="6" s="1"/>
  <c r="P755" i="6"/>
  <c r="N755" i="6"/>
  <c r="M755" i="6"/>
  <c r="M754" i="6" s="1"/>
  <c r="P754" i="6" s="1"/>
  <c r="L755" i="6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N739" i="6" s="1"/>
  <c r="N737" i="6" s="1"/>
  <c r="P741" i="6"/>
  <c r="O741" i="6"/>
  <c r="N740" i="6"/>
  <c r="M740" i="6"/>
  <c r="P740" i="6" s="1"/>
  <c r="L740" i="6"/>
  <c r="O740" i="6" s="1"/>
  <c r="M739" i="6"/>
  <c r="P739" i="6" s="1"/>
  <c r="L739" i="6"/>
  <c r="O739" i="6" s="1"/>
  <c r="P738" i="6"/>
  <c r="N738" i="6"/>
  <c r="M738" i="6"/>
  <c r="L738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P695" i="6"/>
  <c r="O695" i="6"/>
  <c r="N695" i="6"/>
  <c r="M695" i="6"/>
  <c r="L695" i="6"/>
  <c r="P690" i="6"/>
  <c r="N690" i="6"/>
  <c r="N687" i="6" s="1"/>
  <c r="N685" i="6" s="1"/>
  <c r="L690" i="6"/>
  <c r="M688" i="6"/>
  <c r="P688" i="6" s="1"/>
  <c r="P687" i="6"/>
  <c r="M687" i="6"/>
  <c r="M685" i="6" s="1"/>
  <c r="P686" i="6"/>
  <c r="O686" i="6"/>
  <c r="N686" i="6"/>
  <c r="M686" i="6"/>
  <c r="L686" i="6"/>
  <c r="P685" i="6"/>
  <c r="J679" i="6"/>
  <c r="J678" i="6"/>
  <c r="I678" i="6"/>
  <c r="K678" i="6" s="1"/>
  <c r="J675" i="6"/>
  <c r="I671" i="6"/>
  <c r="K671" i="6" s="1"/>
  <c r="I670" i="6"/>
  <c r="K670" i="6" s="1"/>
  <c r="J669" i="6"/>
  <c r="J654" i="6" s="1"/>
  <c r="I669" i="6"/>
  <c r="K672" i="6" s="1"/>
  <c r="P667" i="6"/>
  <c r="O667" i="6"/>
  <c r="P666" i="6"/>
  <c r="O666" i="6"/>
  <c r="P665" i="6"/>
  <c r="O665" i="6"/>
  <c r="N665" i="6"/>
  <c r="M665" i="6"/>
  <c r="L665" i="6"/>
  <c r="P660" i="6"/>
  <c r="N660" i="6"/>
  <c r="L660" i="6"/>
  <c r="L657" i="6" s="1"/>
  <c r="P659" i="6"/>
  <c r="O659" i="6"/>
  <c r="P658" i="6"/>
  <c r="N658" i="6"/>
  <c r="M658" i="6"/>
  <c r="M657" i="6"/>
  <c r="P657" i="6" s="1"/>
  <c r="N656" i="6"/>
  <c r="M656" i="6"/>
  <c r="P656" i="6" s="1"/>
  <c r="L656" i="6"/>
  <c r="M655" i="6"/>
  <c r="P655" i="6" s="1"/>
  <c r="K652" i="6"/>
  <c r="J652" i="6"/>
  <c r="J651" i="6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P634" i="6"/>
  <c r="N634" i="6"/>
  <c r="N631" i="6" s="1"/>
  <c r="L634" i="6"/>
  <c r="O634" i="6" s="1"/>
  <c r="P633" i="6"/>
  <c r="O633" i="6"/>
  <c r="P632" i="6"/>
  <c r="N632" i="6"/>
  <c r="M632" i="6"/>
  <c r="P631" i="6"/>
  <c r="M631" i="6"/>
  <c r="P630" i="6"/>
  <c r="O630" i="6"/>
  <c r="N630" i="6"/>
  <c r="N629" i="6" s="1"/>
  <c r="M630" i="6"/>
  <c r="L630" i="6"/>
  <c r="M629" i="6"/>
  <c r="P629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5" i="6"/>
  <c r="J594" i="6"/>
  <c r="I594" i="6"/>
  <c r="K594" i="6" s="1"/>
  <c r="I593" i="6"/>
  <c r="I592" i="6" s="1"/>
  <c r="K592" i="6" s="1"/>
  <c r="J592" i="6"/>
  <c r="J583" i="6"/>
  <c r="J577" i="6" s="1"/>
  <c r="J582" i="6"/>
  <c r="I577" i="6"/>
  <c r="K577" i="6" s="1"/>
  <c r="J576" i="6"/>
  <c r="I576" i="6"/>
  <c r="I559" i="6" s="1"/>
  <c r="J569" i="6"/>
  <c r="I569" i="6"/>
  <c r="K569" i="6" s="1"/>
  <c r="J568" i="6"/>
  <c r="I568" i="6"/>
  <c r="J561" i="6"/>
  <c r="I561" i="6"/>
  <c r="K561" i="6" s="1"/>
  <c r="J560" i="6"/>
  <c r="I560" i="6"/>
  <c r="P557" i="6"/>
  <c r="L557" i="6"/>
  <c r="O557" i="6" s="1"/>
  <c r="P556" i="6"/>
  <c r="O556" i="6"/>
  <c r="P555" i="6"/>
  <c r="N555" i="6"/>
  <c r="N545" i="6" s="1"/>
  <c r="M555" i="6"/>
  <c r="P549" i="6"/>
  <c r="N549" i="6"/>
  <c r="L549" i="6"/>
  <c r="L547" i="6" s="1"/>
  <c r="O547" i="6" s="1"/>
  <c r="P548" i="6"/>
  <c r="O548" i="6"/>
  <c r="N547" i="6"/>
  <c r="M547" i="6"/>
  <c r="P547" i="6" s="1"/>
  <c r="N546" i="6"/>
  <c r="M546" i="6"/>
  <c r="P546" i="6" s="1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K537" i="6" s="1"/>
  <c r="P535" i="6"/>
  <c r="L535" i="6"/>
  <c r="O535" i="6" s="1"/>
  <c r="P534" i="6"/>
  <c r="O534" i="6"/>
  <c r="N533" i="6"/>
  <c r="M533" i="6"/>
  <c r="P533" i="6" s="1"/>
  <c r="P528" i="6"/>
  <c r="N528" i="6"/>
  <c r="N525" i="6" s="1"/>
  <c r="N523" i="6" s="1"/>
  <c r="L528" i="6"/>
  <c r="P527" i="6"/>
  <c r="O527" i="6"/>
  <c r="N526" i="6"/>
  <c r="M526" i="6"/>
  <c r="P526" i="6" s="1"/>
  <c r="P525" i="6"/>
  <c r="M525" i="6"/>
  <c r="M523" i="6" s="1"/>
  <c r="P523" i="6" s="1"/>
  <c r="P524" i="6"/>
  <c r="O524" i="6"/>
  <c r="N524" i="6"/>
  <c r="M524" i="6"/>
  <c r="L524" i="6"/>
  <c r="K517" i="6"/>
  <c r="J517" i="6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P506" i="6"/>
  <c r="O506" i="6"/>
  <c r="P505" i="6"/>
  <c r="O505" i="6"/>
  <c r="N505" i="6"/>
  <c r="M505" i="6"/>
  <c r="L505" i="6"/>
  <c r="P504" i="6"/>
  <c r="O504" i="6"/>
  <c r="N504" i="6"/>
  <c r="M504" i="6"/>
  <c r="L504" i="6"/>
  <c r="O503" i="6"/>
  <c r="N503" i="6"/>
  <c r="M503" i="6"/>
  <c r="M502" i="6" s="1"/>
  <c r="P502" i="6" s="1"/>
  <c r="L503" i="6"/>
  <c r="N502" i="6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P472" i="6"/>
  <c r="N472" i="6"/>
  <c r="L472" i="6"/>
  <c r="L470" i="6" s="1"/>
  <c r="O470" i="6" s="1"/>
  <c r="P471" i="6"/>
  <c r="O471" i="6"/>
  <c r="P470" i="6"/>
  <c r="N470" i="6"/>
  <c r="M470" i="6"/>
  <c r="P469" i="6"/>
  <c r="N469" i="6"/>
  <c r="M469" i="6"/>
  <c r="O468" i="6"/>
  <c r="N468" i="6"/>
  <c r="M468" i="6"/>
  <c r="M467" i="6" s="1"/>
  <c r="P467" i="6" s="1"/>
  <c r="L468" i="6"/>
  <c r="N467" i="6"/>
  <c r="J466" i="6"/>
  <c r="I466" i="6"/>
  <c r="K466" i="6" s="1"/>
  <c r="J465" i="6"/>
  <c r="I465" i="6"/>
  <c r="K465" i="6" s="1"/>
  <c r="I464" i="6"/>
  <c r="I463" i="6"/>
  <c r="I462" i="6"/>
  <c r="K462" i="6" s="1"/>
  <c r="I460" i="6"/>
  <c r="K460" i="6" s="1"/>
  <c r="K458" i="6"/>
  <c r="P456" i="6"/>
  <c r="L456" i="6"/>
  <c r="P455" i="6"/>
  <c r="O455" i="6"/>
  <c r="N454" i="6"/>
  <c r="M454" i="6"/>
  <c r="P454" i="6" s="1"/>
  <c r="P449" i="6"/>
  <c r="N449" i="6"/>
  <c r="L449" i="6"/>
  <c r="O449" i="6" s="1"/>
  <c r="P448" i="6"/>
  <c r="O448" i="6"/>
  <c r="P447" i="6"/>
  <c r="N447" i="6"/>
  <c r="M447" i="6"/>
  <c r="P446" i="6"/>
  <c r="N446" i="6"/>
  <c r="M446" i="6"/>
  <c r="P445" i="6"/>
  <c r="O445" i="6"/>
  <c r="N445" i="6"/>
  <c r="N444" i="6" s="1"/>
  <c r="M445" i="6"/>
  <c r="L445" i="6"/>
  <c r="M444" i="6"/>
  <c r="P444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I433" i="6" s="1"/>
  <c r="I417" i="6" s="1"/>
  <c r="J434" i="6"/>
  <c r="P431" i="6"/>
  <c r="L431" i="6"/>
  <c r="P430" i="6"/>
  <c r="O430" i="6"/>
  <c r="N429" i="6"/>
  <c r="M429" i="6"/>
  <c r="P429" i="6" s="1"/>
  <c r="P424" i="6"/>
  <c r="N424" i="6"/>
  <c r="L424" i="6"/>
  <c r="O424" i="6" s="1"/>
  <c r="P423" i="6"/>
  <c r="O423" i="6"/>
  <c r="P422" i="6"/>
  <c r="N422" i="6"/>
  <c r="M422" i="6"/>
  <c r="P421" i="6"/>
  <c r="N421" i="6"/>
  <c r="M421" i="6"/>
  <c r="P420" i="6"/>
  <c r="O420" i="6"/>
  <c r="N420" i="6"/>
  <c r="N419" i="6" s="1"/>
  <c r="M420" i="6"/>
  <c r="L420" i="6"/>
  <c r="M419" i="6"/>
  <c r="J418" i="6"/>
  <c r="K413" i="6"/>
  <c r="K412" i="6"/>
  <c r="N410" i="6"/>
  <c r="N408" i="6" s="1"/>
  <c r="M410" i="6"/>
  <c r="M408" i="6" s="1"/>
  <c r="P408" i="6" s="1"/>
  <c r="L410" i="6"/>
  <c r="O410" i="6" s="1"/>
  <c r="P409" i="6"/>
  <c r="O409" i="6"/>
  <c r="N407" i="6"/>
  <c r="N405" i="6" s="1"/>
  <c r="M407" i="6"/>
  <c r="M405" i="6" s="1"/>
  <c r="P405" i="6" s="1"/>
  <c r="L407" i="6"/>
  <c r="O407" i="6" s="1"/>
  <c r="P406" i="6"/>
  <c r="O406" i="6"/>
  <c r="N403" i="6"/>
  <c r="M403" i="6"/>
  <c r="P403" i="6" s="1"/>
  <c r="L403" i="6"/>
  <c r="K401" i="6"/>
  <c r="J401" i="6"/>
  <c r="I401" i="6"/>
  <c r="K400" i="6"/>
  <c r="K399" i="6"/>
  <c r="N397" i="6"/>
  <c r="M397" i="6"/>
  <c r="P397" i="6" s="1"/>
  <c r="L397" i="6"/>
  <c r="O397" i="6" s="1"/>
  <c r="P396" i="6"/>
  <c r="O396" i="6"/>
  <c r="N394" i="6"/>
  <c r="N392" i="6" s="1"/>
  <c r="M394" i="6"/>
  <c r="M392" i="6" s="1"/>
  <c r="P392" i="6" s="1"/>
  <c r="L394" i="6"/>
  <c r="L392" i="6" s="1"/>
  <c r="O392" i="6" s="1"/>
  <c r="P393" i="6"/>
  <c r="O393" i="6"/>
  <c r="P390" i="6"/>
  <c r="O390" i="6"/>
  <c r="N390" i="6"/>
  <c r="M390" i="6"/>
  <c r="L390" i="6"/>
  <c r="J388" i="6"/>
  <c r="I388" i="6"/>
  <c r="K388" i="6" s="1"/>
  <c r="J385" i="6"/>
  <c r="I385" i="6"/>
  <c r="K385" i="6" s="1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P352" i="6"/>
  <c r="O352" i="6"/>
  <c r="N350" i="6"/>
  <c r="N348" i="6" s="1"/>
  <c r="M350" i="6"/>
  <c r="L350" i="6"/>
  <c r="P349" i="6"/>
  <c r="O349" i="6"/>
  <c r="P346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L334" i="6" s="1"/>
  <c r="O334" i="6" s="1"/>
  <c r="P335" i="6"/>
  <c r="O335" i="6"/>
  <c r="N333" i="6"/>
  <c r="N331" i="6" s="1"/>
  <c r="M333" i="6"/>
  <c r="M331" i="6" s="1"/>
  <c r="L333" i="6"/>
  <c r="L331" i="6" s="1"/>
  <c r="P332" i="6"/>
  <c r="O332" i="6"/>
  <c r="P329" i="6"/>
  <c r="N329" i="6"/>
  <c r="M329" i="6"/>
  <c r="L329" i="6"/>
  <c r="O329" i="6" s="1"/>
  <c r="I327" i="6"/>
  <c r="I325" i="6"/>
  <c r="K325" i="6" s="1"/>
  <c r="N323" i="6"/>
  <c r="N321" i="6" s="1"/>
  <c r="M323" i="6"/>
  <c r="L323" i="6"/>
  <c r="O323" i="6" s="1"/>
  <c r="P322" i="6"/>
  <c r="O322" i="6"/>
  <c r="N320" i="6"/>
  <c r="N318" i="6" s="1"/>
  <c r="M320" i="6"/>
  <c r="L320" i="6"/>
  <c r="O320" i="6" s="1"/>
  <c r="P319" i="6"/>
  <c r="O319" i="6"/>
  <c r="P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M306" i="6"/>
  <c r="M304" i="6" s="1"/>
  <c r="P304" i="6" s="1"/>
  <c r="L306" i="6"/>
  <c r="O306" i="6" s="1"/>
  <c r="P305" i="6"/>
  <c r="O305" i="6"/>
  <c r="N303" i="6"/>
  <c r="N301" i="6" s="1"/>
  <c r="M303" i="6"/>
  <c r="M301" i="6" s="1"/>
  <c r="P301" i="6" s="1"/>
  <c r="L303" i="6"/>
  <c r="L301" i="6" s="1"/>
  <c r="O301" i="6" s="1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I276" i="6" s="1"/>
  <c r="K276" i="6" s="1"/>
  <c r="N285" i="6"/>
  <c r="N283" i="6" s="1"/>
  <c r="M285" i="6"/>
  <c r="P285" i="6" s="1"/>
  <c r="L285" i="6"/>
  <c r="O285" i="6" s="1"/>
  <c r="P284" i="6"/>
  <c r="O284" i="6"/>
  <c r="N282" i="6"/>
  <c r="N280" i="6" s="1"/>
  <c r="M282" i="6"/>
  <c r="P282" i="6" s="1"/>
  <c r="L282" i="6"/>
  <c r="O282" i="6" s="1"/>
  <c r="P281" i="6"/>
  <c r="O281" i="6"/>
  <c r="O278" i="6"/>
  <c r="N278" i="6"/>
  <c r="M278" i="6"/>
  <c r="L278" i="6"/>
  <c r="J276" i="6"/>
  <c r="I271" i="6"/>
  <c r="N269" i="6"/>
  <c r="N267" i="6" s="1"/>
  <c r="M269" i="6"/>
  <c r="L269" i="6"/>
  <c r="L267" i="6" s="1"/>
  <c r="O267" i="6" s="1"/>
  <c r="P268" i="6"/>
  <c r="O268" i="6"/>
  <c r="N266" i="6"/>
  <c r="M266" i="6"/>
  <c r="L266" i="6"/>
  <c r="L264" i="6" s="1"/>
  <c r="P265" i="6"/>
  <c r="O265" i="6"/>
  <c r="P262" i="6"/>
  <c r="N262" i="6"/>
  <c r="M262" i="6"/>
  <c r="L262" i="6"/>
  <c r="J260" i="6"/>
  <c r="K258" i="6"/>
  <c r="K257" i="6"/>
  <c r="L253" i="6"/>
  <c r="L252" i="6"/>
  <c r="L251" i="6"/>
  <c r="L250" i="6"/>
  <c r="P249" i="6"/>
  <c r="N249" i="6"/>
  <c r="J248" i="6"/>
  <c r="K247" i="6"/>
  <c r="K246" i="6"/>
  <c r="I244" i="6"/>
  <c r="I237" i="6" s="1"/>
  <c r="K237" i="6" s="1"/>
  <c r="L242" i="6"/>
  <c r="L241" i="6"/>
  <c r="L240" i="6"/>
  <c r="L239" i="6"/>
  <c r="P238" i="6"/>
  <c r="N238" i="6"/>
  <c r="N227" i="6" s="1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L187" i="6" s="1"/>
  <c r="O187" i="6" s="1"/>
  <c r="P188" i="6"/>
  <c r="O188" i="6"/>
  <c r="N186" i="6"/>
  <c r="N184" i="6" s="1"/>
  <c r="M186" i="6"/>
  <c r="L186" i="6"/>
  <c r="P185" i="6"/>
  <c r="O185" i="6"/>
  <c r="P182" i="6"/>
  <c r="N182" i="6"/>
  <c r="M182" i="6"/>
  <c r="L182" i="6"/>
  <c r="J177" i="6"/>
  <c r="J164" i="6" s="1"/>
  <c r="I176" i="6"/>
  <c r="I174" i="6" s="1"/>
  <c r="I164" i="6" s="1"/>
  <c r="K164" i="6" s="1"/>
  <c r="J174" i="6"/>
  <c r="N173" i="6"/>
  <c r="N171" i="6" s="1"/>
  <c r="M173" i="6"/>
  <c r="L173" i="6"/>
  <c r="L171" i="6" s="1"/>
  <c r="O171" i="6" s="1"/>
  <c r="P172" i="6"/>
  <c r="O172" i="6"/>
  <c r="N170" i="6"/>
  <c r="N168" i="6" s="1"/>
  <c r="M170" i="6"/>
  <c r="L170" i="6"/>
  <c r="P169" i="6"/>
  <c r="O169" i="6"/>
  <c r="P166" i="6"/>
  <c r="N166" i="6"/>
  <c r="M166" i="6"/>
  <c r="L166" i="6"/>
  <c r="I159" i="6"/>
  <c r="K159" i="6" s="1"/>
  <c r="N157" i="6"/>
  <c r="N155" i="6" s="1"/>
  <c r="M157" i="6"/>
  <c r="M155" i="6" s="1"/>
  <c r="P155" i="6" s="1"/>
  <c r="L157" i="6"/>
  <c r="O157" i="6" s="1"/>
  <c r="P156" i="6"/>
  <c r="O156" i="6"/>
  <c r="N154" i="6"/>
  <c r="N152" i="6" s="1"/>
  <c r="M154" i="6"/>
  <c r="M152" i="6" s="1"/>
  <c r="P152" i="6" s="1"/>
  <c r="L154" i="6"/>
  <c r="P153" i="6"/>
  <c r="O153" i="6"/>
  <c r="P150" i="6"/>
  <c r="N150" i="6"/>
  <c r="M150" i="6"/>
  <c r="L150" i="6"/>
  <c r="J148" i="6"/>
  <c r="I146" i="6"/>
  <c r="I145" i="6"/>
  <c r="K145" i="6" s="1"/>
  <c r="I144" i="6"/>
  <c r="K144" i="6" s="1"/>
  <c r="N140" i="6"/>
  <c r="N138" i="6" s="1"/>
  <c r="M140" i="6"/>
  <c r="P140" i="6" s="1"/>
  <c r="L140" i="6"/>
  <c r="P139" i="6"/>
  <c r="O139" i="6"/>
  <c r="N137" i="6"/>
  <c r="N135" i="6" s="1"/>
  <c r="M137" i="6"/>
  <c r="L137" i="6"/>
  <c r="P136" i="6"/>
  <c r="O136" i="6"/>
  <c r="O133" i="6"/>
  <c r="N133" i="6"/>
  <c r="M133" i="6"/>
  <c r="P133" i="6" s="1"/>
  <c r="L133" i="6"/>
  <c r="J130" i="6"/>
  <c r="N127" i="6"/>
  <c r="N125" i="6" s="1"/>
  <c r="M127" i="6"/>
  <c r="M125" i="6" s="1"/>
  <c r="P125" i="6" s="1"/>
  <c r="L127" i="6"/>
  <c r="O127" i="6" s="1"/>
  <c r="P126" i="6"/>
  <c r="O126" i="6"/>
  <c r="N124" i="6"/>
  <c r="N122" i="6" s="1"/>
  <c r="M124" i="6"/>
  <c r="M122" i="6" s="1"/>
  <c r="P122" i="6" s="1"/>
  <c r="L124" i="6"/>
  <c r="L122" i="6" s="1"/>
  <c r="O122" i="6" s="1"/>
  <c r="P123" i="6"/>
  <c r="O123" i="6"/>
  <c r="P120" i="6"/>
  <c r="N120" i="6"/>
  <c r="M120" i="6"/>
  <c r="L120" i="6"/>
  <c r="I116" i="6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I87" i="6" s="1"/>
  <c r="J98" i="6"/>
  <c r="I98" i="6"/>
  <c r="I86" i="6" s="1"/>
  <c r="K86" i="6" s="1"/>
  <c r="N96" i="6"/>
  <c r="N94" i="6" s="1"/>
  <c r="M96" i="6"/>
  <c r="L96" i="6"/>
  <c r="O96" i="6" s="1"/>
  <c r="P95" i="6"/>
  <c r="O95" i="6"/>
  <c r="N93" i="6"/>
  <c r="M93" i="6"/>
  <c r="L93" i="6"/>
  <c r="P92" i="6"/>
  <c r="O92" i="6"/>
  <c r="P89" i="6"/>
  <c r="N89" i="6"/>
  <c r="M89" i="6"/>
  <c r="L89" i="6"/>
  <c r="J86" i="6"/>
  <c r="I84" i="6"/>
  <c r="K84" i="6" s="1"/>
  <c r="I83" i="6"/>
  <c r="K83" i="6" s="1"/>
  <c r="I82" i="6"/>
  <c r="K82" i="6" s="1"/>
  <c r="I81" i="6"/>
  <c r="I80" i="6"/>
  <c r="K80" i="6" s="1"/>
  <c r="I79" i="6"/>
  <c r="K79" i="6" s="1"/>
  <c r="I78" i="6"/>
  <c r="K78" i="6" s="1"/>
  <c r="J77" i="6"/>
  <c r="J76" i="6"/>
  <c r="J64" i="6" s="1"/>
  <c r="N74" i="6"/>
  <c r="N72" i="6" s="1"/>
  <c r="M74" i="6"/>
  <c r="P74" i="6" s="1"/>
  <c r="L74" i="6"/>
  <c r="P73" i="6"/>
  <c r="O73" i="6"/>
  <c r="N71" i="6"/>
  <c r="N69" i="6" s="1"/>
  <c r="M71" i="6"/>
  <c r="L71" i="6"/>
  <c r="P70" i="6"/>
  <c r="O70" i="6"/>
  <c r="O67" i="6"/>
  <c r="N67" i="6"/>
  <c r="M67" i="6"/>
  <c r="P67" i="6" s="1"/>
  <c r="L67" i="6"/>
  <c r="J65" i="6"/>
  <c r="N61" i="6"/>
  <c r="N59" i="6" s="1"/>
  <c r="M61" i="6"/>
  <c r="M59" i="6" s="1"/>
  <c r="P59" i="6" s="1"/>
  <c r="L61" i="6"/>
  <c r="O61" i="6" s="1"/>
  <c r="P60" i="6"/>
  <c r="O60" i="6"/>
  <c r="N58" i="6"/>
  <c r="M58" i="6"/>
  <c r="L58" i="6"/>
  <c r="P57" i="6"/>
  <c r="O57" i="6"/>
  <c r="P54" i="6"/>
  <c r="N54" i="6"/>
  <c r="M54" i="6"/>
  <c r="L54" i="6"/>
  <c r="N49" i="6"/>
  <c r="N47" i="6" s="1"/>
  <c r="M49" i="6"/>
  <c r="P49" i="6" s="1"/>
  <c r="L49" i="6"/>
  <c r="P48" i="6"/>
  <c r="O48" i="6"/>
  <c r="N46" i="6"/>
  <c r="M46" i="6"/>
  <c r="L46" i="6"/>
  <c r="P45" i="6"/>
  <c r="O45" i="6"/>
  <c r="O42" i="6"/>
  <c r="N42" i="6"/>
  <c r="M42" i="6"/>
  <c r="P42" i="6" s="1"/>
  <c r="L42" i="6"/>
  <c r="P36" i="6"/>
  <c r="N36" i="6"/>
  <c r="N34" i="6" s="1"/>
  <c r="M36" i="6"/>
  <c r="O35" i="6"/>
  <c r="N35" i="6"/>
  <c r="M35" i="6"/>
  <c r="L35" i="6"/>
  <c r="N33" i="6"/>
  <c r="M33" i="6"/>
  <c r="P33" i="6" s="1"/>
  <c r="P32" i="6"/>
  <c r="N32" i="6"/>
  <c r="N31" i="6" s="1"/>
  <c r="M32" i="6"/>
  <c r="M31" i="6" s="1"/>
  <c r="P31" i="6" s="1"/>
  <c r="L32" i="6"/>
  <c r="O32" i="6" s="1"/>
  <c r="N30" i="6"/>
  <c r="M29" i="6"/>
  <c r="P25" i="6"/>
  <c r="N25" i="6"/>
  <c r="M25" i="6"/>
  <c r="L25" i="6"/>
  <c r="O25" i="6" s="1"/>
  <c r="O22" i="6"/>
  <c r="N22" i="6"/>
  <c r="M22" i="6"/>
  <c r="L22" i="6"/>
  <c r="N19" i="6"/>
  <c r="L19" i="6"/>
  <c r="O19" i="6" s="1"/>
  <c r="M15" i="6"/>
  <c r="N12" i="6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M808" i="5"/>
  <c r="P808" i="5" s="1"/>
  <c r="L808" i="5"/>
  <c r="O808" i="5" s="1"/>
  <c r="M807" i="5"/>
  <c r="P807" i="5" s="1"/>
  <c r="L807" i="5"/>
  <c r="O807" i="5" s="1"/>
  <c r="P806" i="5"/>
  <c r="N806" i="5"/>
  <c r="M806" i="5"/>
  <c r="L806" i="5"/>
  <c r="O806" i="5" s="1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L791" i="5"/>
  <c r="L788" i="5" s="1"/>
  <c r="O788" i="5" s="1"/>
  <c r="P790" i="5"/>
  <c r="O790" i="5"/>
  <c r="N789" i="5"/>
  <c r="M789" i="5"/>
  <c r="P789" i="5" s="1"/>
  <c r="M788" i="5"/>
  <c r="P788" i="5" s="1"/>
  <c r="P787" i="5"/>
  <c r="N787" i="5"/>
  <c r="N786" i="5" s="1"/>
  <c r="M787" i="5"/>
  <c r="L787" i="5"/>
  <c r="O787" i="5" s="1"/>
  <c r="P782" i="5"/>
  <c r="O782" i="5"/>
  <c r="P781" i="5"/>
  <c r="O781" i="5"/>
  <c r="P780" i="5"/>
  <c r="O780" i="5"/>
  <c r="N780" i="5"/>
  <c r="M780" i="5"/>
  <c r="L780" i="5"/>
  <c r="P775" i="5"/>
  <c r="O775" i="5"/>
  <c r="N775" i="5"/>
  <c r="N772" i="5" s="1"/>
  <c r="N770" i="5" s="1"/>
  <c r="P774" i="5"/>
  <c r="O774" i="5"/>
  <c r="O773" i="5"/>
  <c r="N773" i="5"/>
  <c r="M773" i="5"/>
  <c r="P773" i="5" s="1"/>
  <c r="L773" i="5"/>
  <c r="M772" i="5"/>
  <c r="P772" i="5" s="1"/>
  <c r="L772" i="5"/>
  <c r="O772" i="5" s="1"/>
  <c r="N771" i="5"/>
  <c r="M771" i="5"/>
  <c r="P771" i="5" s="1"/>
  <c r="L771" i="5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N756" i="5" s="1"/>
  <c r="N754" i="5" s="1"/>
  <c r="P758" i="5"/>
  <c r="O758" i="5"/>
  <c r="O757" i="5"/>
  <c r="N757" i="5"/>
  <c r="M757" i="5"/>
  <c r="P757" i="5" s="1"/>
  <c r="L757" i="5"/>
  <c r="M756" i="5"/>
  <c r="P756" i="5" s="1"/>
  <c r="L756" i="5"/>
  <c r="O756" i="5" s="1"/>
  <c r="N755" i="5"/>
  <c r="M755" i="5"/>
  <c r="P755" i="5" s="1"/>
  <c r="L755" i="5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N739" i="5" s="1"/>
  <c r="N737" i="5" s="1"/>
  <c r="P741" i="5"/>
  <c r="O741" i="5"/>
  <c r="O740" i="5"/>
  <c r="N740" i="5"/>
  <c r="M740" i="5"/>
  <c r="P740" i="5" s="1"/>
  <c r="L740" i="5"/>
  <c r="M739" i="5"/>
  <c r="P739" i="5" s="1"/>
  <c r="L739" i="5"/>
  <c r="O739" i="5" s="1"/>
  <c r="N738" i="5"/>
  <c r="M738" i="5"/>
  <c r="P738" i="5" s="1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L690" i="5"/>
  <c r="L688" i="5" s="1"/>
  <c r="O688" i="5" s="1"/>
  <c r="M688" i="5"/>
  <c r="P688" i="5" s="1"/>
  <c r="M687" i="5"/>
  <c r="P687" i="5" s="1"/>
  <c r="P686" i="5"/>
  <c r="N686" i="5"/>
  <c r="M686" i="5"/>
  <c r="L686" i="5"/>
  <c r="O686" i="5" s="1"/>
  <c r="J679" i="5"/>
  <c r="J678" i="5"/>
  <c r="I678" i="5"/>
  <c r="K678" i="5" s="1"/>
  <c r="J675" i="5"/>
  <c r="I671" i="5"/>
  <c r="K671" i="5" s="1"/>
  <c r="I670" i="5"/>
  <c r="K670" i="5" s="1"/>
  <c r="J669" i="5"/>
  <c r="J654" i="5" s="1"/>
  <c r="I669" i="5"/>
  <c r="K673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L658" i="5" s="1"/>
  <c r="O658" i="5" s="1"/>
  <c r="P659" i="5"/>
  <c r="O659" i="5"/>
  <c r="P658" i="5"/>
  <c r="N658" i="5"/>
  <c r="M658" i="5"/>
  <c r="P657" i="5"/>
  <c r="N657" i="5"/>
  <c r="M657" i="5"/>
  <c r="O656" i="5"/>
  <c r="N656" i="5"/>
  <c r="N655" i="5" s="1"/>
  <c r="M656" i="5"/>
  <c r="P656" i="5" s="1"/>
  <c r="L656" i="5"/>
  <c r="M655" i="5"/>
  <c r="P655" i="5" s="1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N631" i="5" s="1"/>
  <c r="N629" i="5" s="1"/>
  <c r="L634" i="5"/>
  <c r="P633" i="5"/>
  <c r="O633" i="5"/>
  <c r="N632" i="5"/>
  <c r="M632" i="5"/>
  <c r="P632" i="5" s="1"/>
  <c r="M631" i="5"/>
  <c r="P631" i="5" s="1"/>
  <c r="P630" i="5"/>
  <c r="N630" i="5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3" i="5" s="1"/>
  <c r="J594" i="5"/>
  <c r="I594" i="5"/>
  <c r="K594" i="5" s="1"/>
  <c r="I593" i="5"/>
  <c r="J592" i="5"/>
  <c r="J583" i="5"/>
  <c r="J582" i="5"/>
  <c r="J576" i="5" s="1"/>
  <c r="J577" i="5"/>
  <c r="I577" i="5"/>
  <c r="K577" i="5" s="1"/>
  <c r="I576" i="5"/>
  <c r="I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O557" i="5" s="1"/>
  <c r="P556" i="5"/>
  <c r="O556" i="5"/>
  <c r="P555" i="5"/>
  <c r="N555" i="5"/>
  <c r="M555" i="5"/>
  <c r="N553" i="5"/>
  <c r="N549" i="5" s="1"/>
  <c r="P549" i="5"/>
  <c r="L549" i="5"/>
  <c r="P548" i="5"/>
  <c r="O548" i="5"/>
  <c r="P547" i="5"/>
  <c r="M547" i="5"/>
  <c r="P546" i="5"/>
  <c r="M546" i="5"/>
  <c r="P545" i="5"/>
  <c r="O545" i="5"/>
  <c r="N545" i="5"/>
  <c r="M545" i="5"/>
  <c r="L545" i="5"/>
  <c r="M544" i="5"/>
  <c r="P544" i="5" s="1"/>
  <c r="I542" i="5"/>
  <c r="K542" i="5" s="1"/>
  <c r="I541" i="5"/>
  <c r="K541" i="5" s="1"/>
  <c r="I540" i="5"/>
  <c r="I539" i="5"/>
  <c r="K539" i="5" s="1"/>
  <c r="I538" i="5"/>
  <c r="K538" i="5" s="1"/>
  <c r="I537" i="5"/>
  <c r="I522" i="5" s="1"/>
  <c r="K522" i="5" s="1"/>
  <c r="P535" i="5"/>
  <c r="L535" i="5"/>
  <c r="O535" i="5" s="1"/>
  <c r="P534" i="5"/>
  <c r="O534" i="5"/>
  <c r="P533" i="5"/>
  <c r="N533" i="5"/>
  <c r="M533" i="5"/>
  <c r="P528" i="5"/>
  <c r="N528" i="5"/>
  <c r="N525" i="5" s="1"/>
  <c r="L528" i="5"/>
  <c r="P527" i="5"/>
  <c r="O527" i="5"/>
  <c r="P526" i="5"/>
  <c r="N526" i="5"/>
  <c r="M526" i="5"/>
  <c r="M525" i="5"/>
  <c r="N524" i="5"/>
  <c r="M524" i="5"/>
  <c r="P524" i="5" s="1"/>
  <c r="L524" i="5"/>
  <c r="K517" i="5"/>
  <c r="J517" i="5"/>
  <c r="J501" i="5" s="1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N504" i="5" s="1"/>
  <c r="N502" i="5" s="1"/>
  <c r="P506" i="5"/>
  <c r="O506" i="5"/>
  <c r="N505" i="5"/>
  <c r="M505" i="5"/>
  <c r="P505" i="5" s="1"/>
  <c r="L505" i="5"/>
  <c r="O505" i="5" s="1"/>
  <c r="M504" i="5"/>
  <c r="P504" i="5" s="1"/>
  <c r="L504" i="5"/>
  <c r="O504" i="5" s="1"/>
  <c r="P503" i="5"/>
  <c r="N503" i="5"/>
  <c r="M503" i="5"/>
  <c r="L503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P472" i="5"/>
  <c r="N472" i="5"/>
  <c r="N469" i="5" s="1"/>
  <c r="N467" i="5" s="1"/>
  <c r="L472" i="5"/>
  <c r="P471" i="5"/>
  <c r="O471" i="5"/>
  <c r="N470" i="5"/>
  <c r="M470" i="5"/>
  <c r="P470" i="5" s="1"/>
  <c r="M469" i="5"/>
  <c r="P469" i="5" s="1"/>
  <c r="P468" i="5"/>
  <c r="N468" i="5"/>
  <c r="M468" i="5"/>
  <c r="M467" i="5" s="1"/>
  <c r="P467" i="5" s="1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L454" i="5" s="1"/>
  <c r="O454" i="5" s="1"/>
  <c r="P455" i="5"/>
  <c r="O455" i="5"/>
  <c r="P454" i="5"/>
  <c r="N454" i="5"/>
  <c r="M454" i="5"/>
  <c r="P449" i="5"/>
  <c r="N449" i="5"/>
  <c r="L449" i="5"/>
  <c r="P448" i="5"/>
  <c r="O448" i="5"/>
  <c r="N447" i="5"/>
  <c r="M447" i="5"/>
  <c r="P447" i="5" s="1"/>
  <c r="N446" i="5"/>
  <c r="M446" i="5"/>
  <c r="P446" i="5" s="1"/>
  <c r="N445" i="5"/>
  <c r="M445" i="5"/>
  <c r="L445" i="5"/>
  <c r="O445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J434" i="5"/>
  <c r="J418" i="5" s="1"/>
  <c r="P431" i="5"/>
  <c r="L431" i="5"/>
  <c r="P430" i="5"/>
  <c r="O430" i="5"/>
  <c r="P429" i="5"/>
  <c r="N429" i="5"/>
  <c r="M429" i="5"/>
  <c r="P424" i="5"/>
  <c r="N424" i="5"/>
  <c r="L424" i="5"/>
  <c r="L422" i="5" s="1"/>
  <c r="O422" i="5" s="1"/>
  <c r="P423" i="5"/>
  <c r="O423" i="5"/>
  <c r="N422" i="5"/>
  <c r="M422" i="5"/>
  <c r="P422" i="5" s="1"/>
  <c r="N421" i="5"/>
  <c r="M421" i="5"/>
  <c r="P421" i="5" s="1"/>
  <c r="N420" i="5"/>
  <c r="N419" i="5" s="1"/>
  <c r="M420" i="5"/>
  <c r="L420" i="5"/>
  <c r="O420" i="5" s="1"/>
  <c r="K413" i="5"/>
  <c r="K412" i="5"/>
  <c r="N410" i="5"/>
  <c r="M410" i="5"/>
  <c r="P410" i="5" s="1"/>
  <c r="L410" i="5"/>
  <c r="P409" i="5"/>
  <c r="O409" i="5"/>
  <c r="N407" i="5"/>
  <c r="N405" i="5" s="1"/>
  <c r="M407" i="5"/>
  <c r="P407" i="5" s="1"/>
  <c r="L407" i="5"/>
  <c r="P406" i="5"/>
  <c r="O406" i="5"/>
  <c r="P403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P397" i="5" s="1"/>
  <c r="L397" i="5"/>
  <c r="P396" i="5"/>
  <c r="O396" i="5"/>
  <c r="N394" i="5"/>
  <c r="N392" i="5" s="1"/>
  <c r="M394" i="5"/>
  <c r="P394" i="5" s="1"/>
  <c r="L394" i="5"/>
  <c r="P393" i="5"/>
  <c r="O393" i="5"/>
  <c r="N390" i="5"/>
  <c r="M390" i="5"/>
  <c r="L390" i="5"/>
  <c r="O390" i="5" s="1"/>
  <c r="J388" i="5"/>
  <c r="I388" i="5"/>
  <c r="K388" i="5" s="1"/>
  <c r="J385" i="5"/>
  <c r="I385" i="5"/>
  <c r="K382" i="5"/>
  <c r="J382" i="5"/>
  <c r="J381" i="5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P352" i="5"/>
  <c r="O352" i="5"/>
  <c r="N350" i="5"/>
  <c r="N348" i="5" s="1"/>
  <c r="M350" i="5"/>
  <c r="M348" i="5" s="1"/>
  <c r="L350" i="5"/>
  <c r="L348" i="5" s="1"/>
  <c r="P349" i="5"/>
  <c r="O349" i="5"/>
  <c r="P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L336" i="5"/>
  <c r="O336" i="5" s="1"/>
  <c r="P335" i="5"/>
  <c r="O335" i="5"/>
  <c r="N333" i="5"/>
  <c r="M333" i="5"/>
  <c r="M331" i="5" s="1"/>
  <c r="L333" i="5"/>
  <c r="L331" i="5" s="1"/>
  <c r="P332" i="5"/>
  <c r="O332" i="5"/>
  <c r="P329" i="5"/>
  <c r="N329" i="5"/>
  <c r="M329" i="5"/>
  <c r="L329" i="5"/>
  <c r="I327" i="5"/>
  <c r="I325" i="5"/>
  <c r="K325" i="5" s="1"/>
  <c r="N323" i="5"/>
  <c r="N321" i="5" s="1"/>
  <c r="M323" i="5"/>
  <c r="M321" i="5" s="1"/>
  <c r="P321" i="5" s="1"/>
  <c r="L323" i="5"/>
  <c r="L321" i="5" s="1"/>
  <c r="O321" i="5" s="1"/>
  <c r="P322" i="5"/>
  <c r="O322" i="5"/>
  <c r="N320" i="5"/>
  <c r="M320" i="5"/>
  <c r="P320" i="5" s="1"/>
  <c r="L320" i="5"/>
  <c r="P319" i="5"/>
  <c r="O319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O306" i="5" s="1"/>
  <c r="P305" i="5"/>
  <c r="O305" i="5"/>
  <c r="N303" i="5"/>
  <c r="N301" i="5" s="1"/>
  <c r="M303" i="5"/>
  <c r="M301" i="5" s="1"/>
  <c r="L303" i="5"/>
  <c r="L301" i="5" s="1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K275" i="5" s="1"/>
  <c r="I287" i="5"/>
  <c r="K287" i="5" s="1"/>
  <c r="N285" i="5"/>
  <c r="N283" i="5" s="1"/>
  <c r="M285" i="5"/>
  <c r="P285" i="5" s="1"/>
  <c r="L285" i="5"/>
  <c r="O285" i="5" s="1"/>
  <c r="P284" i="5"/>
  <c r="O284" i="5"/>
  <c r="N282" i="5"/>
  <c r="N280" i="5" s="1"/>
  <c r="M282" i="5"/>
  <c r="P282" i="5" s="1"/>
  <c r="L282" i="5"/>
  <c r="P281" i="5"/>
  <c r="O281" i="5"/>
  <c r="P278" i="5"/>
  <c r="O278" i="5"/>
  <c r="N278" i="5"/>
  <c r="M278" i="5"/>
  <c r="L278" i="5"/>
  <c r="J276" i="5"/>
  <c r="I271" i="5"/>
  <c r="K271" i="5" s="1"/>
  <c r="N269" i="5"/>
  <c r="M269" i="5"/>
  <c r="L269" i="5"/>
  <c r="P268" i="5"/>
  <c r="O268" i="5"/>
  <c r="N266" i="5"/>
  <c r="N264" i="5" s="1"/>
  <c r="M266" i="5"/>
  <c r="M264" i="5" s="1"/>
  <c r="L266" i="5"/>
  <c r="P265" i="5"/>
  <c r="O265" i="5"/>
  <c r="P262" i="5"/>
  <c r="N262" i="5"/>
  <c r="M262" i="5"/>
  <c r="L262" i="5"/>
  <c r="J260" i="5"/>
  <c r="K258" i="5"/>
  <c r="K257" i="5"/>
  <c r="L253" i="5"/>
  <c r="L252" i="5"/>
  <c r="L251" i="5"/>
  <c r="L250" i="5"/>
  <c r="P249" i="5"/>
  <c r="N249" i="5"/>
  <c r="N227" i="5" s="1"/>
  <c r="J248" i="5"/>
  <c r="J226" i="5" s="1"/>
  <c r="J180" i="5" s="1"/>
  <c r="K247" i="5"/>
  <c r="K246" i="5"/>
  <c r="I244" i="5"/>
  <c r="L242" i="5"/>
  <c r="L241" i="5"/>
  <c r="L240" i="5"/>
  <c r="L239" i="5"/>
  <c r="P238" i="5"/>
  <c r="N238" i="5"/>
  <c r="J237" i="5"/>
  <c r="J236" i="5"/>
  <c r="I236" i="5"/>
  <c r="K235" i="5"/>
  <c r="J235" i="5"/>
  <c r="I235" i="5"/>
  <c r="J233" i="5"/>
  <c r="N231" i="5"/>
  <c r="N230" i="5"/>
  <c r="N229" i="5"/>
  <c r="N228" i="5"/>
  <c r="I225" i="5"/>
  <c r="K225" i="5" s="1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L189" i="5"/>
  <c r="O189" i="5" s="1"/>
  <c r="P188" i="5"/>
  <c r="O188" i="5"/>
  <c r="N186" i="5"/>
  <c r="M186" i="5"/>
  <c r="L186" i="5"/>
  <c r="P185" i="5"/>
  <c r="O185" i="5"/>
  <c r="P182" i="5"/>
  <c r="N182" i="5"/>
  <c r="M182" i="5"/>
  <c r="L182" i="5"/>
  <c r="O182" i="5" s="1"/>
  <c r="J177" i="5"/>
  <c r="I176" i="5"/>
  <c r="J174" i="5"/>
  <c r="N173" i="5"/>
  <c r="N171" i="5" s="1"/>
  <c r="M173" i="5"/>
  <c r="L173" i="5"/>
  <c r="O173" i="5" s="1"/>
  <c r="P172" i="5"/>
  <c r="O172" i="5"/>
  <c r="N170" i="5"/>
  <c r="M170" i="5"/>
  <c r="L170" i="5"/>
  <c r="P169" i="5"/>
  <c r="O169" i="5"/>
  <c r="N166" i="5"/>
  <c r="M166" i="5"/>
  <c r="L166" i="5"/>
  <c r="O166" i="5" s="1"/>
  <c r="J164" i="5"/>
  <c r="I159" i="5"/>
  <c r="K159" i="5" s="1"/>
  <c r="N157" i="5"/>
  <c r="N155" i="5" s="1"/>
  <c r="M157" i="5"/>
  <c r="L157" i="5"/>
  <c r="O157" i="5" s="1"/>
  <c r="P156" i="5"/>
  <c r="O156" i="5"/>
  <c r="N154" i="5"/>
  <c r="N152" i="5" s="1"/>
  <c r="M154" i="5"/>
  <c r="M152" i="5" s="1"/>
  <c r="P152" i="5" s="1"/>
  <c r="L154" i="5"/>
  <c r="L152" i="5" s="1"/>
  <c r="O152" i="5" s="1"/>
  <c r="P153" i="5"/>
  <c r="O153" i="5"/>
  <c r="P150" i="5"/>
  <c r="N150" i="5"/>
  <c r="M150" i="5"/>
  <c r="L150" i="5"/>
  <c r="J148" i="5"/>
  <c r="I146" i="5"/>
  <c r="K146" i="5" s="1"/>
  <c r="I145" i="5"/>
  <c r="I144" i="5"/>
  <c r="K144" i="5" s="1"/>
  <c r="N140" i="5"/>
  <c r="N138" i="5" s="1"/>
  <c r="M140" i="5"/>
  <c r="L140" i="5"/>
  <c r="P139" i="5"/>
  <c r="O139" i="5"/>
  <c r="N137" i="5"/>
  <c r="N135" i="5" s="1"/>
  <c r="M137" i="5"/>
  <c r="L137" i="5"/>
  <c r="P136" i="5"/>
  <c r="O136" i="5"/>
  <c r="N133" i="5"/>
  <c r="M133" i="5"/>
  <c r="L133" i="5"/>
  <c r="O133" i="5" s="1"/>
  <c r="J130" i="5"/>
  <c r="N127" i="5"/>
  <c r="N125" i="5" s="1"/>
  <c r="M127" i="5"/>
  <c r="M125" i="5" s="1"/>
  <c r="L127" i="5"/>
  <c r="P126" i="5"/>
  <c r="O126" i="5"/>
  <c r="N124" i="5"/>
  <c r="M124" i="5"/>
  <c r="L124" i="5"/>
  <c r="O124" i="5" s="1"/>
  <c r="P123" i="5"/>
  <c r="O123" i="5"/>
  <c r="P120" i="5"/>
  <c r="N120" i="5"/>
  <c r="M120" i="5"/>
  <c r="L120" i="5"/>
  <c r="I116" i="5"/>
  <c r="K116" i="5" s="1"/>
  <c r="I115" i="5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I98" i="5"/>
  <c r="I86" i="5" s="1"/>
  <c r="K86" i="5" s="1"/>
  <c r="N96" i="5"/>
  <c r="M96" i="5"/>
  <c r="L96" i="5"/>
  <c r="O96" i="5" s="1"/>
  <c r="P95" i="5"/>
  <c r="O95" i="5"/>
  <c r="N93" i="5"/>
  <c r="M93" i="5"/>
  <c r="L93" i="5"/>
  <c r="P92" i="5"/>
  <c r="O92" i="5"/>
  <c r="N89" i="5"/>
  <c r="M89" i="5"/>
  <c r="P89" i="5" s="1"/>
  <c r="L89" i="5"/>
  <c r="J87" i="5"/>
  <c r="J86" i="5"/>
  <c r="I84" i="5"/>
  <c r="K84" i="5" s="1"/>
  <c r="I83" i="5"/>
  <c r="K83" i="5" s="1"/>
  <c r="I82" i="5"/>
  <c r="I81" i="5"/>
  <c r="K81" i="5" s="1"/>
  <c r="I80" i="5"/>
  <c r="K80" i="5" s="1"/>
  <c r="I79" i="5"/>
  <c r="I78" i="5"/>
  <c r="K78" i="5" s="1"/>
  <c r="J77" i="5"/>
  <c r="J76" i="5"/>
  <c r="J64" i="5" s="1"/>
  <c r="N74" i="5"/>
  <c r="N72" i="5" s="1"/>
  <c r="M74" i="5"/>
  <c r="P74" i="5" s="1"/>
  <c r="L74" i="5"/>
  <c r="P73" i="5"/>
  <c r="O73" i="5"/>
  <c r="N71" i="5"/>
  <c r="M71" i="5"/>
  <c r="L71" i="5"/>
  <c r="L69" i="5" s="1"/>
  <c r="O69" i="5" s="1"/>
  <c r="P70" i="5"/>
  <c r="O70" i="5"/>
  <c r="O67" i="5"/>
  <c r="N67" i="5"/>
  <c r="M67" i="5"/>
  <c r="L67" i="5"/>
  <c r="J65" i="5"/>
  <c r="N61" i="5"/>
  <c r="N59" i="5" s="1"/>
  <c r="M61" i="5"/>
  <c r="M59" i="5" s="1"/>
  <c r="L61" i="5"/>
  <c r="P60" i="5"/>
  <c r="O60" i="5"/>
  <c r="N58" i="5"/>
  <c r="N56" i="5" s="1"/>
  <c r="M58" i="5"/>
  <c r="L58" i="5"/>
  <c r="P57" i="5"/>
  <c r="O57" i="5"/>
  <c r="O54" i="5"/>
  <c r="N54" i="5"/>
  <c r="M54" i="5"/>
  <c r="L54" i="5"/>
  <c r="N49" i="5"/>
  <c r="M49" i="5"/>
  <c r="L49" i="5"/>
  <c r="P48" i="5"/>
  <c r="O48" i="5"/>
  <c r="N46" i="5"/>
  <c r="M46" i="5"/>
  <c r="L46" i="5"/>
  <c r="L44" i="5" s="1"/>
  <c r="P45" i="5"/>
  <c r="O45" i="5"/>
  <c r="P42" i="5"/>
  <c r="N42" i="5"/>
  <c r="M42" i="5"/>
  <c r="L42" i="5"/>
  <c r="N36" i="5"/>
  <c r="M36" i="5"/>
  <c r="P36" i="5" s="1"/>
  <c r="P35" i="5"/>
  <c r="N35" i="5"/>
  <c r="N34" i="5" s="1"/>
  <c r="M35" i="5"/>
  <c r="L35" i="5"/>
  <c r="P33" i="5"/>
  <c r="N33" i="5"/>
  <c r="N30" i="5" s="1"/>
  <c r="M33" i="5"/>
  <c r="O32" i="5"/>
  <c r="N32" i="5"/>
  <c r="M32" i="5"/>
  <c r="M31" i="5" s="1"/>
  <c r="L32" i="5"/>
  <c r="P31" i="5"/>
  <c r="N31" i="5"/>
  <c r="L29" i="5"/>
  <c r="O25" i="5"/>
  <c r="N25" i="5"/>
  <c r="M25" i="5"/>
  <c r="L25" i="5"/>
  <c r="P22" i="5"/>
  <c r="N22" i="5"/>
  <c r="M22" i="5"/>
  <c r="L22" i="5"/>
  <c r="M19" i="5"/>
  <c r="N15" i="5"/>
  <c r="L15" i="5"/>
  <c r="M12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M808" i="4"/>
  <c r="P808" i="4" s="1"/>
  <c r="L808" i="4"/>
  <c r="O808" i="4" s="1"/>
  <c r="M807" i="4"/>
  <c r="L807" i="4"/>
  <c r="O807" i="4" s="1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L791" i="4"/>
  <c r="L788" i="4" s="1"/>
  <c r="O788" i="4" s="1"/>
  <c r="P790" i="4"/>
  <c r="O790" i="4"/>
  <c r="M789" i="4"/>
  <c r="P789" i="4" s="1"/>
  <c r="M788" i="4"/>
  <c r="P787" i="4"/>
  <c r="N787" i="4"/>
  <c r="M787" i="4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O773" i="4"/>
  <c r="N773" i="4"/>
  <c r="M773" i="4"/>
  <c r="P773" i="4" s="1"/>
  <c r="L773" i="4"/>
  <c r="N772" i="4"/>
  <c r="N770" i="4" s="1"/>
  <c r="M772" i="4"/>
  <c r="P772" i="4" s="1"/>
  <c r="L772" i="4"/>
  <c r="O772" i="4" s="1"/>
  <c r="N771" i="4"/>
  <c r="M771" i="4"/>
  <c r="L771" i="4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P758" i="4"/>
  <c r="O758" i="4"/>
  <c r="O757" i="4"/>
  <c r="N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P741" i="4"/>
  <c r="O741" i="4"/>
  <c r="O740" i="4"/>
  <c r="N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L738" i="4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P690" i="4"/>
  <c r="N690" i="4"/>
  <c r="N687" i="4" s="1"/>
  <c r="L690" i="4"/>
  <c r="L687" i="4" s="1"/>
  <c r="O687" i="4" s="1"/>
  <c r="P688" i="4"/>
  <c r="N688" i="4"/>
  <c r="M688" i="4"/>
  <c r="P687" i="4"/>
  <c r="M687" i="4"/>
  <c r="M685" i="4" s="1"/>
  <c r="P686" i="4"/>
  <c r="N686" i="4"/>
  <c r="N685" i="4" s="1"/>
  <c r="M686" i="4"/>
  <c r="L686" i="4"/>
  <c r="P685" i="4"/>
  <c r="J679" i="4"/>
  <c r="J678" i="4" s="1"/>
  <c r="I678" i="4"/>
  <c r="K678" i="4" s="1"/>
  <c r="J675" i="4"/>
  <c r="I671" i="4"/>
  <c r="K671" i="4" s="1"/>
  <c r="I670" i="4"/>
  <c r="K670" i="4" s="1"/>
  <c r="J669" i="4"/>
  <c r="I669" i="4"/>
  <c r="K673" i="4" s="1"/>
  <c r="P667" i="4"/>
  <c r="O667" i="4"/>
  <c r="P666" i="4"/>
  <c r="O666" i="4"/>
  <c r="P665" i="4"/>
  <c r="N665" i="4"/>
  <c r="M665" i="4"/>
  <c r="L665" i="4"/>
  <c r="O665" i="4" s="1"/>
  <c r="P660" i="4"/>
  <c r="N660" i="4"/>
  <c r="N657" i="4" s="1"/>
  <c r="L660" i="4"/>
  <c r="L657" i="4" s="1"/>
  <c r="O657" i="4" s="1"/>
  <c r="P659" i="4"/>
  <c r="O659" i="4"/>
  <c r="P658" i="4"/>
  <c r="N658" i="4"/>
  <c r="M658" i="4"/>
  <c r="P657" i="4"/>
  <c r="M657" i="4"/>
  <c r="O656" i="4"/>
  <c r="N656" i="4"/>
  <c r="M656" i="4"/>
  <c r="P656" i="4" s="1"/>
  <c r="L656" i="4"/>
  <c r="N655" i="4"/>
  <c r="M655" i="4"/>
  <c r="P655" i="4" s="1"/>
  <c r="J654" i="4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N639" i="4"/>
  <c r="M639" i="4"/>
  <c r="P639" i="4" s="1"/>
  <c r="P634" i="4"/>
  <c r="N634" i="4"/>
  <c r="L634" i="4"/>
  <c r="L632" i="4" s="1"/>
  <c r="O632" i="4" s="1"/>
  <c r="P633" i="4"/>
  <c r="O633" i="4"/>
  <c r="N632" i="4"/>
  <c r="M632" i="4"/>
  <c r="P632" i="4" s="1"/>
  <c r="P631" i="4"/>
  <c r="N631" i="4"/>
  <c r="M631" i="4"/>
  <c r="O630" i="4"/>
  <c r="N630" i="4"/>
  <c r="M630" i="4"/>
  <c r="P630" i="4" s="1"/>
  <c r="L630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I594" i="4"/>
  <c r="K594" i="4" s="1"/>
  <c r="J593" i="4"/>
  <c r="J592" i="4" s="1"/>
  <c r="I593" i="4"/>
  <c r="I592" i="4" s="1"/>
  <c r="K592" i="4" s="1"/>
  <c r="J583" i="4"/>
  <c r="J577" i="4" s="1"/>
  <c r="J582" i="4"/>
  <c r="J576" i="4" s="1"/>
  <c r="J559" i="4" s="1"/>
  <c r="J543" i="4" s="1"/>
  <c r="I577" i="4"/>
  <c r="K577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L555" i="4" s="1"/>
  <c r="O555" i="4" s="1"/>
  <c r="P556" i="4"/>
  <c r="O556" i="4"/>
  <c r="N555" i="4"/>
  <c r="M555" i="4"/>
  <c r="P555" i="4" s="1"/>
  <c r="P549" i="4"/>
  <c r="N549" i="4"/>
  <c r="L549" i="4"/>
  <c r="O549" i="4" s="1"/>
  <c r="P548" i="4"/>
  <c r="O548" i="4"/>
  <c r="P547" i="4"/>
  <c r="N547" i="4"/>
  <c r="M547" i="4"/>
  <c r="N546" i="4"/>
  <c r="M546" i="4"/>
  <c r="P546" i="4" s="1"/>
  <c r="N545" i="4"/>
  <c r="L545" i="4"/>
  <c r="O545" i="4" s="1"/>
  <c r="I542" i="4"/>
  <c r="K542" i="4" s="1"/>
  <c r="I541" i="4"/>
  <c r="K541" i="4" s="1"/>
  <c r="I540" i="4"/>
  <c r="K540" i="4" s="1"/>
  <c r="I539" i="4"/>
  <c r="I538" i="4"/>
  <c r="K538" i="4" s="1"/>
  <c r="I537" i="4"/>
  <c r="K537" i="4" s="1"/>
  <c r="P535" i="4"/>
  <c r="L535" i="4"/>
  <c r="O535" i="4" s="1"/>
  <c r="P534" i="4"/>
  <c r="O534" i="4"/>
  <c r="N533" i="4"/>
  <c r="M533" i="4"/>
  <c r="P533" i="4" s="1"/>
  <c r="P528" i="4"/>
  <c r="N528" i="4"/>
  <c r="N525" i="4" s="1"/>
  <c r="L528" i="4"/>
  <c r="P527" i="4"/>
  <c r="O527" i="4"/>
  <c r="N526" i="4"/>
  <c r="M526" i="4"/>
  <c r="P526" i="4" s="1"/>
  <c r="M525" i="4"/>
  <c r="P524" i="4"/>
  <c r="N524" i="4"/>
  <c r="N523" i="4" s="1"/>
  <c r="M524" i="4"/>
  <c r="L524" i="4"/>
  <c r="K517" i="4"/>
  <c r="J517" i="4"/>
  <c r="J501" i="4" s="1"/>
  <c r="K516" i="4"/>
  <c r="P514" i="4"/>
  <c r="O514" i="4"/>
  <c r="P513" i="4"/>
  <c r="O513" i="4"/>
  <c r="N512" i="4"/>
  <c r="M512" i="4"/>
  <c r="P512" i="4" s="1"/>
  <c r="L512" i="4"/>
  <c r="O512" i="4" s="1"/>
  <c r="P507" i="4"/>
  <c r="O507" i="4"/>
  <c r="N507" i="4"/>
  <c r="P506" i="4"/>
  <c r="O506" i="4"/>
  <c r="P505" i="4"/>
  <c r="O505" i="4"/>
  <c r="N505" i="4"/>
  <c r="M505" i="4"/>
  <c r="L505" i="4"/>
  <c r="P504" i="4"/>
  <c r="O504" i="4"/>
  <c r="N504" i="4"/>
  <c r="N502" i="4" s="1"/>
  <c r="M504" i="4"/>
  <c r="L504" i="4"/>
  <c r="O503" i="4"/>
  <c r="N503" i="4"/>
  <c r="M503" i="4"/>
  <c r="L503" i="4"/>
  <c r="L502" i="4"/>
  <c r="O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P472" i="4"/>
  <c r="N472" i="4"/>
  <c r="N33" i="4" s="1"/>
  <c r="N30" i="4" s="1"/>
  <c r="L472" i="4"/>
  <c r="L470" i="4" s="1"/>
  <c r="P471" i="4"/>
  <c r="O471" i="4"/>
  <c r="P470" i="4"/>
  <c r="M470" i="4"/>
  <c r="P469" i="4"/>
  <c r="M469" i="4"/>
  <c r="P468" i="4"/>
  <c r="N468" i="4"/>
  <c r="M468" i="4"/>
  <c r="L468" i="4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O456" i="4" s="1"/>
  <c r="P455" i="4"/>
  <c r="O455" i="4"/>
  <c r="N454" i="4"/>
  <c r="M454" i="4"/>
  <c r="P454" i="4" s="1"/>
  <c r="P449" i="4"/>
  <c r="N449" i="4"/>
  <c r="L449" i="4"/>
  <c r="O449" i="4" s="1"/>
  <c r="P448" i="4"/>
  <c r="O448" i="4"/>
  <c r="P447" i="4"/>
  <c r="N447" i="4"/>
  <c r="M447" i="4"/>
  <c r="P446" i="4"/>
  <c r="N446" i="4"/>
  <c r="M446" i="4"/>
  <c r="O445" i="4"/>
  <c r="N445" i="4"/>
  <c r="N444" i="4" s="1"/>
  <c r="M445" i="4"/>
  <c r="L445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J434" i="4"/>
  <c r="J418" i="4" s="1"/>
  <c r="P431" i="4"/>
  <c r="L431" i="4"/>
  <c r="P430" i="4"/>
  <c r="O430" i="4"/>
  <c r="N429" i="4"/>
  <c r="M429" i="4"/>
  <c r="P429" i="4" s="1"/>
  <c r="P424" i="4"/>
  <c r="N424" i="4"/>
  <c r="L424" i="4"/>
  <c r="P423" i="4"/>
  <c r="O423" i="4"/>
  <c r="N422" i="4"/>
  <c r="M422" i="4"/>
  <c r="P422" i="4" s="1"/>
  <c r="P421" i="4"/>
  <c r="N421" i="4"/>
  <c r="M421" i="4"/>
  <c r="P420" i="4"/>
  <c r="O420" i="4"/>
  <c r="N420" i="4"/>
  <c r="M420" i="4"/>
  <c r="M419" i="4" s="1"/>
  <c r="L420" i="4"/>
  <c r="P419" i="4"/>
  <c r="N419" i="4"/>
  <c r="K413" i="4"/>
  <c r="K412" i="4"/>
  <c r="N410" i="4"/>
  <c r="N408" i="4" s="1"/>
  <c r="M410" i="4"/>
  <c r="P410" i="4" s="1"/>
  <c r="L410" i="4"/>
  <c r="P409" i="4"/>
  <c r="O409" i="4"/>
  <c r="N407" i="4"/>
  <c r="M407" i="4"/>
  <c r="M405" i="4" s="1"/>
  <c r="P405" i="4" s="1"/>
  <c r="L407" i="4"/>
  <c r="L405" i="4" s="1"/>
  <c r="O405" i="4" s="1"/>
  <c r="P406" i="4"/>
  <c r="O406" i="4"/>
  <c r="O403" i="4"/>
  <c r="N403" i="4"/>
  <c r="M403" i="4"/>
  <c r="P403" i="4" s="1"/>
  <c r="L403" i="4"/>
  <c r="K401" i="4"/>
  <c r="J401" i="4"/>
  <c r="I401" i="4"/>
  <c r="K400" i="4"/>
  <c r="K399" i="4"/>
  <c r="N397" i="4"/>
  <c r="N395" i="4" s="1"/>
  <c r="M397" i="4"/>
  <c r="P397" i="4" s="1"/>
  <c r="L397" i="4"/>
  <c r="O397" i="4" s="1"/>
  <c r="P396" i="4"/>
  <c r="O396" i="4"/>
  <c r="N394" i="4"/>
  <c r="N392" i="4" s="1"/>
  <c r="M394" i="4"/>
  <c r="P394" i="4" s="1"/>
  <c r="L394" i="4"/>
  <c r="O394" i="4" s="1"/>
  <c r="P393" i="4"/>
  <c r="O393" i="4"/>
  <c r="O390" i="4"/>
  <c r="N390" i="4"/>
  <c r="M390" i="4"/>
  <c r="P390" i="4" s="1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M350" i="4"/>
  <c r="L350" i="4"/>
  <c r="L348" i="4" s="1"/>
  <c r="P349" i="4"/>
  <c r="O349" i="4"/>
  <c r="O346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P335" i="4"/>
  <c r="O335" i="4"/>
  <c r="N333" i="4"/>
  <c r="M333" i="4"/>
  <c r="M331" i="4" s="1"/>
  <c r="L333" i="4"/>
  <c r="L331" i="4" s="1"/>
  <c r="P332" i="4"/>
  <c r="O332" i="4"/>
  <c r="O329" i="4"/>
  <c r="N329" i="4"/>
  <c r="M329" i="4"/>
  <c r="L329" i="4"/>
  <c r="I327" i="4"/>
  <c r="I325" i="4"/>
  <c r="K325" i="4" s="1"/>
  <c r="N323" i="4"/>
  <c r="N321" i="4" s="1"/>
  <c r="M323" i="4"/>
  <c r="L323" i="4"/>
  <c r="P322" i="4"/>
  <c r="O322" i="4"/>
  <c r="N320" i="4"/>
  <c r="N318" i="4" s="1"/>
  <c r="M320" i="4"/>
  <c r="M318" i="4" s="1"/>
  <c r="P318" i="4" s="1"/>
  <c r="L320" i="4"/>
  <c r="O320" i="4" s="1"/>
  <c r="P319" i="4"/>
  <c r="O319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M306" i="4"/>
  <c r="L306" i="4"/>
  <c r="L304" i="4" s="1"/>
  <c r="O304" i="4" s="1"/>
  <c r="P305" i="4"/>
  <c r="O305" i="4"/>
  <c r="N303" i="4"/>
  <c r="N301" i="4" s="1"/>
  <c r="M303" i="4"/>
  <c r="P303" i="4" s="1"/>
  <c r="L303" i="4"/>
  <c r="P302" i="4"/>
  <c r="O302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K288" i="4" s="1"/>
  <c r="I287" i="4"/>
  <c r="N285" i="4"/>
  <c r="N283" i="4" s="1"/>
  <c r="M285" i="4"/>
  <c r="L285" i="4"/>
  <c r="O285" i="4" s="1"/>
  <c r="P284" i="4"/>
  <c r="O284" i="4"/>
  <c r="N282" i="4"/>
  <c r="M282" i="4"/>
  <c r="M280" i="4" s="1"/>
  <c r="P280" i="4" s="1"/>
  <c r="L282" i="4"/>
  <c r="P281" i="4"/>
  <c r="O281" i="4"/>
  <c r="P278" i="4"/>
  <c r="O278" i="4"/>
  <c r="N278" i="4"/>
  <c r="M278" i="4"/>
  <c r="L278" i="4"/>
  <c r="J276" i="4"/>
  <c r="I271" i="4"/>
  <c r="N269" i="4"/>
  <c r="N267" i="4" s="1"/>
  <c r="M269" i="4"/>
  <c r="L269" i="4"/>
  <c r="L267" i="4" s="1"/>
  <c r="O267" i="4" s="1"/>
  <c r="P268" i="4"/>
  <c r="O268" i="4"/>
  <c r="N266" i="4"/>
  <c r="M266" i="4"/>
  <c r="M264" i="4" s="1"/>
  <c r="L266" i="4"/>
  <c r="P265" i="4"/>
  <c r="O265" i="4"/>
  <c r="O262" i="4"/>
  <c r="N262" i="4"/>
  <c r="M262" i="4"/>
  <c r="P262" i="4" s="1"/>
  <c r="L262" i="4"/>
  <c r="J260" i="4"/>
  <c r="K258" i="4"/>
  <c r="K257" i="4"/>
  <c r="K255" i="4"/>
  <c r="L253" i="4"/>
  <c r="L252" i="4"/>
  <c r="L251" i="4"/>
  <c r="L250" i="4"/>
  <c r="P249" i="4"/>
  <c r="N249" i="4"/>
  <c r="J248" i="4"/>
  <c r="K247" i="4"/>
  <c r="K246" i="4"/>
  <c r="I244" i="4"/>
  <c r="L242" i="4"/>
  <c r="L241" i="4"/>
  <c r="L240" i="4"/>
  <c r="L239" i="4"/>
  <c r="P238" i="4"/>
  <c r="N238" i="4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I225" i="4"/>
  <c r="K225" i="4" s="1"/>
  <c r="I224" i="4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P191" i="4"/>
  <c r="L191" i="4"/>
  <c r="O191" i="4" s="1"/>
  <c r="J190" i="4"/>
  <c r="N189" i="4"/>
  <c r="M189" i="4"/>
  <c r="L189" i="4"/>
  <c r="O189" i="4" s="1"/>
  <c r="P188" i="4"/>
  <c r="O188" i="4"/>
  <c r="N186" i="4"/>
  <c r="N184" i="4" s="1"/>
  <c r="M186" i="4"/>
  <c r="M184" i="4" s="1"/>
  <c r="L186" i="4"/>
  <c r="L184" i="4" s="1"/>
  <c r="P185" i="4"/>
  <c r="O185" i="4"/>
  <c r="O182" i="4"/>
  <c r="N182" i="4"/>
  <c r="M182" i="4"/>
  <c r="L182" i="4"/>
  <c r="J177" i="4"/>
  <c r="I176" i="4"/>
  <c r="J174" i="4"/>
  <c r="J164" i="4" s="1"/>
  <c r="N173" i="4"/>
  <c r="N171" i="4" s="1"/>
  <c r="M173" i="4"/>
  <c r="P173" i="4" s="1"/>
  <c r="L173" i="4"/>
  <c r="P172" i="4"/>
  <c r="O172" i="4"/>
  <c r="N170" i="4"/>
  <c r="M170" i="4"/>
  <c r="M168" i="4" s="1"/>
  <c r="L170" i="4"/>
  <c r="L168" i="4" s="1"/>
  <c r="P169" i="4"/>
  <c r="O169" i="4"/>
  <c r="N166" i="4"/>
  <c r="M166" i="4"/>
  <c r="L166" i="4"/>
  <c r="O166" i="4" s="1"/>
  <c r="I159" i="4"/>
  <c r="K159" i="4" s="1"/>
  <c r="N157" i="4"/>
  <c r="N155" i="4" s="1"/>
  <c r="M157" i="4"/>
  <c r="L157" i="4"/>
  <c r="L155" i="4" s="1"/>
  <c r="O155" i="4" s="1"/>
  <c r="P156" i="4"/>
  <c r="O156" i="4"/>
  <c r="N154" i="4"/>
  <c r="M154" i="4"/>
  <c r="L154" i="4"/>
  <c r="P153" i="4"/>
  <c r="O153" i="4"/>
  <c r="N150" i="4"/>
  <c r="M150" i="4"/>
  <c r="P150" i="4" s="1"/>
  <c r="L150" i="4"/>
  <c r="O150" i="4" s="1"/>
  <c r="J148" i="4"/>
  <c r="I146" i="4"/>
  <c r="I130" i="4" s="1"/>
  <c r="K130" i="4" s="1"/>
  <c r="I145" i="4"/>
  <c r="I144" i="4"/>
  <c r="N140" i="4"/>
  <c r="N138" i="4" s="1"/>
  <c r="M140" i="4"/>
  <c r="L140" i="4"/>
  <c r="O140" i="4" s="1"/>
  <c r="P139" i="4"/>
  <c r="O139" i="4"/>
  <c r="N137" i="4"/>
  <c r="N135" i="4" s="1"/>
  <c r="M137" i="4"/>
  <c r="L137" i="4"/>
  <c r="O137" i="4" s="1"/>
  <c r="P136" i="4"/>
  <c r="O136" i="4"/>
  <c r="N133" i="4"/>
  <c r="M133" i="4"/>
  <c r="L133" i="4"/>
  <c r="O133" i="4" s="1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P124" i="4" s="1"/>
  <c r="L124" i="4"/>
  <c r="P123" i="4"/>
  <c r="O123" i="4"/>
  <c r="P120" i="4"/>
  <c r="O120" i="4"/>
  <c r="N120" i="4"/>
  <c r="M120" i="4"/>
  <c r="L120" i="4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J87" i="4" s="1"/>
  <c r="I99" i="4"/>
  <c r="I87" i="4" s="1"/>
  <c r="K87" i="4" s="1"/>
  <c r="J98" i="4"/>
  <c r="I98" i="4"/>
  <c r="N96" i="4"/>
  <c r="N94" i="4" s="1"/>
  <c r="M96" i="4"/>
  <c r="P96" i="4" s="1"/>
  <c r="L96" i="4"/>
  <c r="L94" i="4" s="1"/>
  <c r="O94" i="4" s="1"/>
  <c r="P95" i="4"/>
  <c r="O95" i="4"/>
  <c r="N93" i="4"/>
  <c r="M93" i="4"/>
  <c r="L93" i="4"/>
  <c r="L91" i="4" s="1"/>
  <c r="P92" i="4"/>
  <c r="O92" i="4"/>
  <c r="O89" i="4"/>
  <c r="N89" i="4"/>
  <c r="M89" i="4"/>
  <c r="P89" i="4" s="1"/>
  <c r="L89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65" i="4" s="1"/>
  <c r="J76" i="4"/>
  <c r="N74" i="4"/>
  <c r="N72" i="4" s="1"/>
  <c r="M74" i="4"/>
  <c r="L74" i="4"/>
  <c r="L72" i="4" s="1"/>
  <c r="O72" i="4" s="1"/>
  <c r="P73" i="4"/>
  <c r="O73" i="4"/>
  <c r="N71" i="4"/>
  <c r="M71" i="4"/>
  <c r="L71" i="4"/>
  <c r="O71" i="4" s="1"/>
  <c r="P70" i="4"/>
  <c r="O70" i="4"/>
  <c r="N67" i="4"/>
  <c r="M67" i="4"/>
  <c r="P67" i="4" s="1"/>
  <c r="L67" i="4"/>
  <c r="O67" i="4" s="1"/>
  <c r="J64" i="4"/>
  <c r="N61" i="4"/>
  <c r="N59" i="4" s="1"/>
  <c r="M61" i="4"/>
  <c r="P61" i="4" s="1"/>
  <c r="L61" i="4"/>
  <c r="P60" i="4"/>
  <c r="O60" i="4"/>
  <c r="N58" i="4"/>
  <c r="M58" i="4"/>
  <c r="M56" i="4" s="1"/>
  <c r="L58" i="4"/>
  <c r="L56" i="4" s="1"/>
  <c r="P57" i="4"/>
  <c r="O57" i="4"/>
  <c r="P54" i="4"/>
  <c r="N54" i="4"/>
  <c r="M54" i="4"/>
  <c r="L54" i="4"/>
  <c r="O54" i="4" s="1"/>
  <c r="N49" i="4"/>
  <c r="N47" i="4" s="1"/>
  <c r="M49" i="4"/>
  <c r="M47" i="4" s="1"/>
  <c r="P47" i="4" s="1"/>
  <c r="L49" i="4"/>
  <c r="P48" i="4"/>
  <c r="O48" i="4"/>
  <c r="N46" i="4"/>
  <c r="M46" i="4"/>
  <c r="M44" i="4" s="1"/>
  <c r="L46" i="4"/>
  <c r="L44" i="4" s="1"/>
  <c r="P45" i="4"/>
  <c r="O45" i="4"/>
  <c r="P42" i="4"/>
  <c r="N42" i="4"/>
  <c r="M42" i="4"/>
  <c r="L42" i="4"/>
  <c r="N36" i="4"/>
  <c r="M36" i="4"/>
  <c r="M34" i="4" s="1"/>
  <c r="P34" i="4" s="1"/>
  <c r="P35" i="4"/>
  <c r="O35" i="4"/>
  <c r="N35" i="4"/>
  <c r="M35" i="4"/>
  <c r="L35" i="4"/>
  <c r="N34" i="4"/>
  <c r="P33" i="4"/>
  <c r="M33" i="4"/>
  <c r="M30" i="4" s="1"/>
  <c r="P30" i="4" s="1"/>
  <c r="N32" i="4"/>
  <c r="N31" i="4" s="1"/>
  <c r="M32" i="4"/>
  <c r="L32" i="4"/>
  <c r="O32" i="4" s="1"/>
  <c r="N25" i="4"/>
  <c r="N19" i="4" s="1"/>
  <c r="M25" i="4"/>
  <c r="L25" i="4"/>
  <c r="L15" i="4" s="1"/>
  <c r="P22" i="4"/>
  <c r="N22" i="4"/>
  <c r="M22" i="4"/>
  <c r="L22" i="4"/>
  <c r="L12" i="4" s="1"/>
  <c r="M19" i="4"/>
  <c r="N12" i="4"/>
  <c r="J828" i="3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N805" i="3" s="1"/>
  <c r="P809" i="3"/>
  <c r="O809" i="3"/>
  <c r="N808" i="3"/>
  <c r="M808" i="3"/>
  <c r="P808" i="3" s="1"/>
  <c r="L808" i="3"/>
  <c r="O808" i="3" s="1"/>
  <c r="M807" i="3"/>
  <c r="P807" i="3" s="1"/>
  <c r="L807" i="3"/>
  <c r="O807" i="3" s="1"/>
  <c r="P806" i="3"/>
  <c r="N806" i="3"/>
  <c r="M806" i="3"/>
  <c r="M805" i="3" s="1"/>
  <c r="P805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L791" i="3"/>
  <c r="L788" i="3" s="1"/>
  <c r="O788" i="3" s="1"/>
  <c r="P790" i="3"/>
  <c r="O790" i="3"/>
  <c r="M789" i="3"/>
  <c r="P789" i="3" s="1"/>
  <c r="M788" i="3"/>
  <c r="P788" i="3" s="1"/>
  <c r="P787" i="3"/>
  <c r="N787" i="3"/>
  <c r="M787" i="3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P774" i="3"/>
  <c r="O774" i="3"/>
  <c r="O773" i="3"/>
  <c r="N773" i="3"/>
  <c r="M773" i="3"/>
  <c r="P773" i="3" s="1"/>
  <c r="L773" i="3"/>
  <c r="N772" i="3"/>
  <c r="M772" i="3"/>
  <c r="P772" i="3" s="1"/>
  <c r="L772" i="3"/>
  <c r="O772" i="3" s="1"/>
  <c r="N771" i="3"/>
  <c r="N770" i="3" s="1"/>
  <c r="M771" i="3"/>
  <c r="L771" i="3"/>
  <c r="O771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O757" i="3"/>
  <c r="N757" i="3"/>
  <c r="M757" i="3"/>
  <c r="P757" i="3" s="1"/>
  <c r="L757" i="3"/>
  <c r="N756" i="3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P741" i="3"/>
  <c r="O741" i="3"/>
  <c r="O740" i="3"/>
  <c r="N740" i="3"/>
  <c r="M740" i="3"/>
  <c r="P740" i="3" s="1"/>
  <c r="L740" i="3"/>
  <c r="N739" i="3"/>
  <c r="M739" i="3"/>
  <c r="P739" i="3" s="1"/>
  <c r="L739" i="3"/>
  <c r="O739" i="3" s="1"/>
  <c r="N738" i="3"/>
  <c r="N737" i="3" s="1"/>
  <c r="M738" i="3"/>
  <c r="L738" i="3"/>
  <c r="O738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O695" i="3"/>
  <c r="N695" i="3"/>
  <c r="M695" i="3"/>
  <c r="L695" i="3"/>
  <c r="P690" i="3"/>
  <c r="N690" i="3"/>
  <c r="N687" i="3" s="1"/>
  <c r="L690" i="3"/>
  <c r="L688" i="3" s="1"/>
  <c r="O688" i="3" s="1"/>
  <c r="N688" i="3"/>
  <c r="M688" i="3"/>
  <c r="P688" i="3" s="1"/>
  <c r="M687" i="3"/>
  <c r="P687" i="3" s="1"/>
  <c r="P686" i="3"/>
  <c r="N686" i="3"/>
  <c r="M686" i="3"/>
  <c r="M685" i="3" s="1"/>
  <c r="P685" i="3" s="1"/>
  <c r="L686" i="3"/>
  <c r="J679" i="3"/>
  <c r="J678" i="3" s="1"/>
  <c r="I678" i="3"/>
  <c r="K678" i="3" s="1"/>
  <c r="J675" i="3"/>
  <c r="I671" i="3"/>
  <c r="K671" i="3" s="1"/>
  <c r="I670" i="3"/>
  <c r="K670" i="3" s="1"/>
  <c r="J669" i="3"/>
  <c r="J654" i="3" s="1"/>
  <c r="I669" i="3"/>
  <c r="K675" i="3" s="1"/>
  <c r="P667" i="3"/>
  <c r="O667" i="3"/>
  <c r="P666" i="3"/>
  <c r="O666" i="3"/>
  <c r="P665" i="3"/>
  <c r="N665" i="3"/>
  <c r="M665" i="3"/>
  <c r="L665" i="3"/>
  <c r="O665" i="3" s="1"/>
  <c r="P660" i="3"/>
  <c r="N660" i="3"/>
  <c r="L660" i="3"/>
  <c r="O660" i="3" s="1"/>
  <c r="P659" i="3"/>
  <c r="O659" i="3"/>
  <c r="P658" i="3"/>
  <c r="N658" i="3"/>
  <c r="M658" i="3"/>
  <c r="P657" i="3"/>
  <c r="N657" i="3"/>
  <c r="M657" i="3"/>
  <c r="O656" i="3"/>
  <c r="N656" i="3"/>
  <c r="N655" i="3" s="1"/>
  <c r="M656" i="3"/>
  <c r="P656" i="3" s="1"/>
  <c r="L656" i="3"/>
  <c r="M655" i="3"/>
  <c r="P655" i="3" s="1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N639" i="3"/>
  <c r="M639" i="3"/>
  <c r="P639" i="3" s="1"/>
  <c r="P634" i="3"/>
  <c r="N634" i="3"/>
  <c r="L634" i="3"/>
  <c r="P633" i="3"/>
  <c r="O633" i="3"/>
  <c r="N632" i="3"/>
  <c r="M632" i="3"/>
  <c r="P632" i="3" s="1"/>
  <c r="P631" i="3"/>
  <c r="N631" i="3"/>
  <c r="M631" i="3"/>
  <c r="P630" i="3"/>
  <c r="O630" i="3"/>
  <c r="N630" i="3"/>
  <c r="M630" i="3"/>
  <c r="L630" i="3"/>
  <c r="P629" i="3"/>
  <c r="N629" i="3"/>
  <c r="M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4" i="3"/>
  <c r="I594" i="3"/>
  <c r="K594" i="3" s="1"/>
  <c r="J593" i="3"/>
  <c r="I593" i="3"/>
  <c r="K593" i="3" s="1"/>
  <c r="J592" i="3"/>
  <c r="J583" i="3"/>
  <c r="J582" i="3"/>
  <c r="J577" i="3"/>
  <c r="I577" i="3"/>
  <c r="J576" i="3"/>
  <c r="I576" i="3"/>
  <c r="K576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O557" i="3" s="1"/>
  <c r="P556" i="3"/>
  <c r="O556" i="3"/>
  <c r="P555" i="3"/>
  <c r="N555" i="3"/>
  <c r="M555" i="3"/>
  <c r="N553" i="3"/>
  <c r="N549" i="3" s="1"/>
  <c r="P549" i="3"/>
  <c r="L549" i="3"/>
  <c r="P548" i="3"/>
  <c r="O548" i="3"/>
  <c r="P547" i="3"/>
  <c r="M547" i="3"/>
  <c r="P546" i="3"/>
  <c r="M546" i="3"/>
  <c r="O545" i="3"/>
  <c r="N545" i="3"/>
  <c r="M545" i="3"/>
  <c r="P545" i="3" s="1"/>
  <c r="L545" i="3"/>
  <c r="M544" i="3"/>
  <c r="P544" i="3" s="1"/>
  <c r="I542" i="3"/>
  <c r="K542" i="3" s="1"/>
  <c r="I541" i="3"/>
  <c r="K541" i="3" s="1"/>
  <c r="I540" i="3"/>
  <c r="K540" i="3" s="1"/>
  <c r="I539" i="3"/>
  <c r="K539" i="3" s="1"/>
  <c r="I538" i="3"/>
  <c r="I537" i="3"/>
  <c r="P535" i="3"/>
  <c r="L535" i="3"/>
  <c r="L533" i="3" s="1"/>
  <c r="O533" i="3" s="1"/>
  <c r="P534" i="3"/>
  <c r="O534" i="3"/>
  <c r="P533" i="3"/>
  <c r="N533" i="3"/>
  <c r="M533" i="3"/>
  <c r="N532" i="3"/>
  <c r="P528" i="3"/>
  <c r="N528" i="3"/>
  <c r="L528" i="3"/>
  <c r="L526" i="3" s="1"/>
  <c r="O526" i="3" s="1"/>
  <c r="P527" i="3"/>
  <c r="O527" i="3"/>
  <c r="P526" i="3"/>
  <c r="N526" i="3"/>
  <c r="M526" i="3"/>
  <c r="N525" i="3"/>
  <c r="M525" i="3"/>
  <c r="P525" i="3" s="1"/>
  <c r="N524" i="3"/>
  <c r="M524" i="3"/>
  <c r="P524" i="3" s="1"/>
  <c r="L524" i="3"/>
  <c r="O524" i="3" s="1"/>
  <c r="M523" i="3"/>
  <c r="P523" i="3" s="1"/>
  <c r="K517" i="3"/>
  <c r="J517" i="3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N504" i="3" s="1"/>
  <c r="N502" i="3" s="1"/>
  <c r="P506" i="3"/>
  <c r="O506" i="3"/>
  <c r="N505" i="3"/>
  <c r="M505" i="3"/>
  <c r="P505" i="3" s="1"/>
  <c r="L505" i="3"/>
  <c r="O505" i="3" s="1"/>
  <c r="M504" i="3"/>
  <c r="P504" i="3" s="1"/>
  <c r="L504" i="3"/>
  <c r="O504" i="3" s="1"/>
  <c r="P503" i="3"/>
  <c r="N503" i="3"/>
  <c r="M503" i="3"/>
  <c r="M502" i="3" s="1"/>
  <c r="P502" i="3" s="1"/>
  <c r="L503" i="3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N477" i="3"/>
  <c r="M477" i="3"/>
  <c r="P477" i="3" s="1"/>
  <c r="N476" i="3"/>
  <c r="N474" i="3"/>
  <c r="P472" i="3"/>
  <c r="N472" i="3"/>
  <c r="L472" i="3"/>
  <c r="O472" i="3" s="1"/>
  <c r="P471" i="3"/>
  <c r="O471" i="3"/>
  <c r="P470" i="3"/>
  <c r="N470" i="3"/>
  <c r="M470" i="3"/>
  <c r="N469" i="3"/>
  <c r="M469" i="3"/>
  <c r="P469" i="3" s="1"/>
  <c r="N468" i="3"/>
  <c r="M468" i="3"/>
  <c r="P468" i="3" s="1"/>
  <c r="L468" i="3"/>
  <c r="O468" i="3" s="1"/>
  <c r="J466" i="3"/>
  <c r="I466" i="3"/>
  <c r="K466" i="3" s="1"/>
  <c r="J465" i="3"/>
  <c r="I465" i="3"/>
  <c r="I464" i="3"/>
  <c r="I463" i="3"/>
  <c r="I462" i="3"/>
  <c r="I460" i="3"/>
  <c r="K458" i="3"/>
  <c r="P456" i="3"/>
  <c r="L456" i="3"/>
  <c r="O456" i="3" s="1"/>
  <c r="P455" i="3"/>
  <c r="O455" i="3"/>
  <c r="P454" i="3"/>
  <c r="N454" i="3"/>
  <c r="M454" i="3"/>
  <c r="N450" i="3"/>
  <c r="N449" i="3" s="1"/>
  <c r="P449" i="3"/>
  <c r="L449" i="3"/>
  <c r="P448" i="3"/>
  <c r="O448" i="3"/>
  <c r="P447" i="3"/>
  <c r="M447" i="3"/>
  <c r="P446" i="3"/>
  <c r="M446" i="3"/>
  <c r="P445" i="3"/>
  <c r="O445" i="3"/>
  <c r="N445" i="3"/>
  <c r="M445" i="3"/>
  <c r="L445" i="3"/>
  <c r="M444" i="3"/>
  <c r="P444" i="3" s="1"/>
  <c r="J443" i="3"/>
  <c r="J442" i="3"/>
  <c r="I441" i="3"/>
  <c r="K441" i="3" s="1"/>
  <c r="I440" i="3"/>
  <c r="I439" i="3"/>
  <c r="K439" i="3" s="1"/>
  <c r="I438" i="3"/>
  <c r="K438" i="3" s="1"/>
  <c r="I437" i="3"/>
  <c r="I435" i="3"/>
  <c r="J434" i="3"/>
  <c r="P431" i="3"/>
  <c r="L431" i="3"/>
  <c r="L429" i="3" s="1"/>
  <c r="O429" i="3" s="1"/>
  <c r="P430" i="3"/>
  <c r="O430" i="3"/>
  <c r="N429" i="3"/>
  <c r="M429" i="3"/>
  <c r="P429" i="3" s="1"/>
  <c r="P424" i="3"/>
  <c r="N424" i="3"/>
  <c r="N421" i="3" s="1"/>
  <c r="L424" i="3"/>
  <c r="O424" i="3" s="1"/>
  <c r="P423" i="3"/>
  <c r="O423" i="3"/>
  <c r="P422" i="3"/>
  <c r="N422" i="3"/>
  <c r="M422" i="3"/>
  <c r="P421" i="3"/>
  <c r="M421" i="3"/>
  <c r="P420" i="3"/>
  <c r="O420" i="3"/>
  <c r="N420" i="3"/>
  <c r="M420" i="3"/>
  <c r="L420" i="3"/>
  <c r="N419" i="3"/>
  <c r="M419" i="3"/>
  <c r="P419" i="3" s="1"/>
  <c r="J418" i="3"/>
  <c r="K413" i="3"/>
  <c r="K412" i="3"/>
  <c r="N410" i="3"/>
  <c r="N408" i="3" s="1"/>
  <c r="M410" i="3"/>
  <c r="M408" i="3" s="1"/>
  <c r="P408" i="3" s="1"/>
  <c r="L410" i="3"/>
  <c r="O410" i="3" s="1"/>
  <c r="P409" i="3"/>
  <c r="O409" i="3"/>
  <c r="N407" i="3"/>
  <c r="N405" i="3" s="1"/>
  <c r="M407" i="3"/>
  <c r="M405" i="3" s="1"/>
  <c r="P405" i="3" s="1"/>
  <c r="L407" i="3"/>
  <c r="P406" i="3"/>
  <c r="O406" i="3"/>
  <c r="N403" i="3"/>
  <c r="M403" i="3"/>
  <c r="P403" i="3" s="1"/>
  <c r="L403" i="3"/>
  <c r="O403" i="3" s="1"/>
  <c r="K401" i="3"/>
  <c r="J401" i="3"/>
  <c r="I401" i="3"/>
  <c r="K400" i="3"/>
  <c r="K399" i="3"/>
  <c r="N397" i="3"/>
  <c r="N395" i="3" s="1"/>
  <c r="M397" i="3"/>
  <c r="P397" i="3" s="1"/>
  <c r="L397" i="3"/>
  <c r="O397" i="3" s="1"/>
  <c r="P396" i="3"/>
  <c r="O396" i="3"/>
  <c r="N394" i="3"/>
  <c r="M394" i="3"/>
  <c r="L394" i="3"/>
  <c r="O394" i="3" s="1"/>
  <c r="P393" i="3"/>
  <c r="O393" i="3"/>
  <c r="P390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M350" i="3"/>
  <c r="M348" i="3" s="1"/>
  <c r="L350" i="3"/>
  <c r="L348" i="3" s="1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L334" i="3" s="1"/>
  <c r="O334" i="3" s="1"/>
  <c r="P335" i="3"/>
  <c r="O335" i="3"/>
  <c r="N333" i="3"/>
  <c r="N331" i="3" s="1"/>
  <c r="M333" i="3"/>
  <c r="M331" i="3" s="1"/>
  <c r="L333" i="3"/>
  <c r="L331" i="3" s="1"/>
  <c r="P332" i="3"/>
  <c r="O332" i="3"/>
  <c r="P329" i="3"/>
  <c r="O329" i="3"/>
  <c r="N329" i="3"/>
  <c r="M329" i="3"/>
  <c r="L329" i="3"/>
  <c r="I327" i="3"/>
  <c r="I325" i="3"/>
  <c r="I314" i="3" s="1"/>
  <c r="K314" i="3" s="1"/>
  <c r="N323" i="3"/>
  <c r="N321" i="3" s="1"/>
  <c r="M323" i="3"/>
  <c r="L323" i="3"/>
  <c r="P322" i="3"/>
  <c r="O322" i="3"/>
  <c r="N320" i="3"/>
  <c r="N318" i="3" s="1"/>
  <c r="M320" i="3"/>
  <c r="M318" i="3" s="1"/>
  <c r="L320" i="3"/>
  <c r="P319" i="3"/>
  <c r="O319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N306" i="3"/>
  <c r="N304" i="3" s="1"/>
  <c r="M306" i="3"/>
  <c r="M304" i="3" s="1"/>
  <c r="P304" i="3" s="1"/>
  <c r="L306" i="3"/>
  <c r="P305" i="3"/>
  <c r="O305" i="3"/>
  <c r="N303" i="3"/>
  <c r="N301" i="3" s="1"/>
  <c r="M303" i="3"/>
  <c r="L303" i="3"/>
  <c r="L301" i="3" s="1"/>
  <c r="P302" i="3"/>
  <c r="O302" i="3"/>
  <c r="N299" i="3"/>
  <c r="M299" i="3"/>
  <c r="P299" i="3" s="1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I287" i="3"/>
  <c r="I276" i="3" s="1"/>
  <c r="K276" i="3" s="1"/>
  <c r="N285" i="3"/>
  <c r="N283" i="3" s="1"/>
  <c r="M285" i="3"/>
  <c r="P285" i="3" s="1"/>
  <c r="L285" i="3"/>
  <c r="L283" i="3" s="1"/>
  <c r="O283" i="3" s="1"/>
  <c r="P284" i="3"/>
  <c r="O284" i="3"/>
  <c r="N282" i="3"/>
  <c r="N280" i="3" s="1"/>
  <c r="M282" i="3"/>
  <c r="L282" i="3"/>
  <c r="L280" i="3" s="1"/>
  <c r="P281" i="3"/>
  <c r="O281" i="3"/>
  <c r="O278" i="3"/>
  <c r="N278" i="3"/>
  <c r="M278" i="3"/>
  <c r="L278" i="3"/>
  <c r="J276" i="3"/>
  <c r="I271" i="3"/>
  <c r="K271" i="3" s="1"/>
  <c r="N269" i="3"/>
  <c r="N267" i="3" s="1"/>
  <c r="M269" i="3"/>
  <c r="P269" i="3" s="1"/>
  <c r="L269" i="3"/>
  <c r="O269" i="3" s="1"/>
  <c r="P268" i="3"/>
  <c r="O268" i="3"/>
  <c r="N266" i="3"/>
  <c r="N264" i="3" s="1"/>
  <c r="M266" i="3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48" i="3"/>
  <c r="K248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K236" i="3"/>
  <c r="J236" i="3"/>
  <c r="I236" i="3"/>
  <c r="J235" i="3"/>
  <c r="I235" i="3"/>
  <c r="K235" i="3" s="1"/>
  <c r="J233" i="3"/>
  <c r="N231" i="3"/>
  <c r="N230" i="3"/>
  <c r="N229" i="3"/>
  <c r="N228" i="3"/>
  <c r="I225" i="3"/>
  <c r="I224" i="3"/>
  <c r="I223" i="3"/>
  <c r="K223" i="3" s="1"/>
  <c r="L220" i="3"/>
  <c r="L219" i="3"/>
  <c r="L218" i="3"/>
  <c r="P217" i="3"/>
  <c r="N217" i="3"/>
  <c r="J216" i="3"/>
  <c r="I215" i="3"/>
  <c r="I208" i="3" s="1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N187" i="3" s="1"/>
  <c r="M189" i="3"/>
  <c r="L189" i="3"/>
  <c r="L187" i="3" s="1"/>
  <c r="O187" i="3" s="1"/>
  <c r="P188" i="3"/>
  <c r="O188" i="3"/>
  <c r="N186" i="3"/>
  <c r="N184" i="3" s="1"/>
  <c r="M186" i="3"/>
  <c r="M184" i="3" s="1"/>
  <c r="L186" i="3"/>
  <c r="L184" i="3" s="1"/>
  <c r="P185" i="3"/>
  <c r="O185" i="3"/>
  <c r="O182" i="3"/>
  <c r="N182" i="3"/>
  <c r="M182" i="3"/>
  <c r="P182" i="3" s="1"/>
  <c r="L182" i="3"/>
  <c r="J177" i="3"/>
  <c r="J164" i="3" s="1"/>
  <c r="I176" i="3"/>
  <c r="I174" i="3" s="1"/>
  <c r="J174" i="3"/>
  <c r="N173" i="3"/>
  <c r="N171" i="3" s="1"/>
  <c r="M173" i="3"/>
  <c r="L173" i="3"/>
  <c r="L171" i="3" s="1"/>
  <c r="O171" i="3" s="1"/>
  <c r="P172" i="3"/>
  <c r="O172" i="3"/>
  <c r="N170" i="3"/>
  <c r="N168" i="3" s="1"/>
  <c r="M170" i="3"/>
  <c r="M168" i="3" s="1"/>
  <c r="P168" i="3" s="1"/>
  <c r="L170" i="3"/>
  <c r="L168" i="3" s="1"/>
  <c r="O168" i="3" s="1"/>
  <c r="P169" i="3"/>
  <c r="O169" i="3"/>
  <c r="O166" i="3"/>
  <c r="N166" i="3"/>
  <c r="M166" i="3"/>
  <c r="P166" i="3" s="1"/>
  <c r="L166" i="3"/>
  <c r="I159" i="3"/>
  <c r="K159" i="3" s="1"/>
  <c r="N157" i="3"/>
  <c r="N155" i="3" s="1"/>
  <c r="M157" i="3"/>
  <c r="P157" i="3" s="1"/>
  <c r="L157" i="3"/>
  <c r="P156" i="3"/>
  <c r="O156" i="3"/>
  <c r="N154" i="3"/>
  <c r="N152" i="3" s="1"/>
  <c r="M154" i="3"/>
  <c r="L154" i="3"/>
  <c r="L152" i="3" s="1"/>
  <c r="P153" i="3"/>
  <c r="O153" i="3"/>
  <c r="P150" i="3"/>
  <c r="O150" i="3"/>
  <c r="N150" i="3"/>
  <c r="M150" i="3"/>
  <c r="L150" i="3"/>
  <c r="J148" i="3"/>
  <c r="I146" i="3"/>
  <c r="I145" i="3"/>
  <c r="K145" i="3" s="1"/>
  <c r="I144" i="3"/>
  <c r="N140" i="3"/>
  <c r="M140" i="3"/>
  <c r="L140" i="3"/>
  <c r="L138" i="3" s="1"/>
  <c r="P139" i="3"/>
  <c r="O139" i="3"/>
  <c r="N137" i="3"/>
  <c r="N135" i="3" s="1"/>
  <c r="M137" i="3"/>
  <c r="L137" i="3"/>
  <c r="P136" i="3"/>
  <c r="O136" i="3"/>
  <c r="N133" i="3"/>
  <c r="M133" i="3"/>
  <c r="L133" i="3"/>
  <c r="O133" i="3" s="1"/>
  <c r="J130" i="3"/>
  <c r="N127" i="3"/>
  <c r="N125" i="3" s="1"/>
  <c r="M127" i="3"/>
  <c r="L127" i="3"/>
  <c r="O127" i="3" s="1"/>
  <c r="P126" i="3"/>
  <c r="O126" i="3"/>
  <c r="N124" i="3"/>
  <c r="N122" i="3" s="1"/>
  <c r="M124" i="3"/>
  <c r="L124" i="3"/>
  <c r="O124" i="3" s="1"/>
  <c r="P123" i="3"/>
  <c r="O123" i="3"/>
  <c r="P120" i="3"/>
  <c r="O120" i="3"/>
  <c r="N120" i="3"/>
  <c r="M120" i="3"/>
  <c r="L120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I87" i="3" s="1"/>
  <c r="K87" i="3" s="1"/>
  <c r="J98" i="3"/>
  <c r="I98" i="3"/>
  <c r="K98" i="3" s="1"/>
  <c r="N96" i="3"/>
  <c r="N94" i="3" s="1"/>
  <c r="M96" i="3"/>
  <c r="P96" i="3" s="1"/>
  <c r="L96" i="3"/>
  <c r="L94" i="3" s="1"/>
  <c r="O94" i="3" s="1"/>
  <c r="P95" i="3"/>
  <c r="O95" i="3"/>
  <c r="N93" i="3"/>
  <c r="N91" i="3" s="1"/>
  <c r="M93" i="3"/>
  <c r="L93" i="3"/>
  <c r="L91" i="3" s="1"/>
  <c r="P92" i="3"/>
  <c r="O92" i="3"/>
  <c r="O89" i="3"/>
  <c r="N89" i="3"/>
  <c r="M89" i="3"/>
  <c r="L89" i="3"/>
  <c r="J87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J77" i="3"/>
  <c r="J65" i="3" s="1"/>
  <c r="J76" i="3"/>
  <c r="N74" i="3"/>
  <c r="N72" i="3" s="1"/>
  <c r="M74" i="3"/>
  <c r="L74" i="3"/>
  <c r="O74" i="3" s="1"/>
  <c r="P73" i="3"/>
  <c r="O73" i="3"/>
  <c r="N71" i="3"/>
  <c r="M71" i="3"/>
  <c r="L71" i="3"/>
  <c r="L69" i="3" s="1"/>
  <c r="P70" i="3"/>
  <c r="O70" i="3"/>
  <c r="P67" i="3"/>
  <c r="N67" i="3"/>
  <c r="M67" i="3"/>
  <c r="L67" i="3"/>
  <c r="O67" i="3" s="1"/>
  <c r="J64" i="3"/>
  <c r="N61" i="3"/>
  <c r="M61" i="3"/>
  <c r="L61" i="3"/>
  <c r="P60" i="3"/>
  <c r="O60" i="3"/>
  <c r="N58" i="3"/>
  <c r="N56" i="3" s="1"/>
  <c r="M58" i="3"/>
  <c r="M56" i="3" s="1"/>
  <c r="L58" i="3"/>
  <c r="P57" i="3"/>
  <c r="O57" i="3"/>
  <c r="O54" i="3"/>
  <c r="N54" i="3"/>
  <c r="M54" i="3"/>
  <c r="L54" i="3"/>
  <c r="N49" i="3"/>
  <c r="N47" i="3" s="1"/>
  <c r="M49" i="3"/>
  <c r="L49" i="3"/>
  <c r="O49" i="3" s="1"/>
  <c r="P48" i="3"/>
  <c r="O48" i="3"/>
  <c r="N46" i="3"/>
  <c r="N44" i="3" s="1"/>
  <c r="M46" i="3"/>
  <c r="L46" i="3"/>
  <c r="P45" i="3"/>
  <c r="O45" i="3"/>
  <c r="P42" i="3"/>
  <c r="N42" i="3"/>
  <c r="M42" i="3"/>
  <c r="L42" i="3"/>
  <c r="O42" i="3" s="1"/>
  <c r="P36" i="3"/>
  <c r="N36" i="3"/>
  <c r="M36" i="3"/>
  <c r="P35" i="3"/>
  <c r="O35" i="3"/>
  <c r="N35" i="3"/>
  <c r="N34" i="3" s="1"/>
  <c r="M35" i="3"/>
  <c r="L35" i="3"/>
  <c r="M34" i="3"/>
  <c r="P34" i="3" s="1"/>
  <c r="P33" i="3"/>
  <c r="N33" i="3"/>
  <c r="M33" i="3"/>
  <c r="N32" i="3"/>
  <c r="M32" i="3"/>
  <c r="L32" i="3"/>
  <c r="M30" i="3"/>
  <c r="P30" i="3" s="1"/>
  <c r="O25" i="3"/>
  <c r="N25" i="3"/>
  <c r="M25" i="3"/>
  <c r="L25" i="3"/>
  <c r="L15" i="3" s="1"/>
  <c r="O15" i="3" s="1"/>
  <c r="P22" i="3"/>
  <c r="O22" i="3"/>
  <c r="N22" i="3"/>
  <c r="M22" i="3"/>
  <c r="L22" i="3"/>
  <c r="M19" i="3"/>
  <c r="N15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P817" i="2"/>
  <c r="O817" i="2"/>
  <c r="P816" i="2"/>
  <c r="O816" i="2"/>
  <c r="O815" i="2"/>
  <c r="N815" i="2"/>
  <c r="M815" i="2"/>
  <c r="P815" i="2" s="1"/>
  <c r="L815" i="2"/>
  <c r="P810" i="2"/>
  <c r="O810" i="2"/>
  <c r="N810" i="2"/>
  <c r="P809" i="2"/>
  <c r="O809" i="2"/>
  <c r="M808" i="2"/>
  <c r="P808" i="2" s="1"/>
  <c r="L808" i="2"/>
  <c r="O808" i="2" s="1"/>
  <c r="P807" i="2"/>
  <c r="M807" i="2"/>
  <c r="L807" i="2"/>
  <c r="O807" i="2" s="1"/>
  <c r="P806" i="2"/>
  <c r="O806" i="2"/>
  <c r="N806" i="2"/>
  <c r="M806" i="2"/>
  <c r="L806" i="2"/>
  <c r="L805" i="2" s="1"/>
  <c r="O805" i="2" s="1"/>
  <c r="P805" i="2"/>
  <c r="M805" i="2"/>
  <c r="K804" i="2"/>
  <c r="J804" i="2"/>
  <c r="K802" i="2"/>
  <c r="J801" i="2"/>
  <c r="J800" i="2"/>
  <c r="J785" i="2" s="1"/>
  <c r="I800" i="2"/>
  <c r="K800" i="2" s="1"/>
  <c r="P798" i="2"/>
  <c r="O798" i="2"/>
  <c r="P797" i="2"/>
  <c r="O797" i="2"/>
  <c r="N796" i="2"/>
  <c r="M796" i="2"/>
  <c r="P796" i="2" s="1"/>
  <c r="L796" i="2"/>
  <c r="O796" i="2" s="1"/>
  <c r="P791" i="2"/>
  <c r="N791" i="2"/>
  <c r="N788" i="2" s="1"/>
  <c r="L791" i="2"/>
  <c r="L788" i="2" s="1"/>
  <c r="O788" i="2" s="1"/>
  <c r="P790" i="2"/>
  <c r="O790" i="2"/>
  <c r="N789" i="2"/>
  <c r="M789" i="2"/>
  <c r="P789" i="2" s="1"/>
  <c r="P788" i="2"/>
  <c r="M788" i="2"/>
  <c r="P787" i="2"/>
  <c r="O787" i="2"/>
  <c r="N787" i="2"/>
  <c r="M787" i="2"/>
  <c r="L787" i="2"/>
  <c r="P786" i="2"/>
  <c r="M786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2" i="2" s="1"/>
  <c r="N770" i="2" s="1"/>
  <c r="P774" i="2"/>
  <c r="O774" i="2"/>
  <c r="N773" i="2"/>
  <c r="M773" i="2"/>
  <c r="P773" i="2" s="1"/>
  <c r="L773" i="2"/>
  <c r="O773" i="2" s="1"/>
  <c r="M772" i="2"/>
  <c r="P772" i="2" s="1"/>
  <c r="L772" i="2"/>
  <c r="O772" i="2" s="1"/>
  <c r="P771" i="2"/>
  <c r="N771" i="2"/>
  <c r="M771" i="2"/>
  <c r="M770" i="2" s="1"/>
  <c r="P770" i="2" s="1"/>
  <c r="L771" i="2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6" i="2" s="1"/>
  <c r="N754" i="2" s="1"/>
  <c r="P758" i="2"/>
  <c r="O758" i="2"/>
  <c r="N757" i="2"/>
  <c r="M757" i="2"/>
  <c r="P757" i="2" s="1"/>
  <c r="L757" i="2"/>
  <c r="O757" i="2" s="1"/>
  <c r="M756" i="2"/>
  <c r="L756" i="2"/>
  <c r="O756" i="2" s="1"/>
  <c r="P755" i="2"/>
  <c r="N755" i="2"/>
  <c r="M755" i="2"/>
  <c r="L755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39" i="2" s="1"/>
  <c r="N737" i="2" s="1"/>
  <c r="P741" i="2"/>
  <c r="O741" i="2"/>
  <c r="N740" i="2"/>
  <c r="M740" i="2"/>
  <c r="P740" i="2" s="1"/>
  <c r="L740" i="2"/>
  <c r="O740" i="2" s="1"/>
  <c r="M739" i="2"/>
  <c r="L739" i="2"/>
  <c r="O739" i="2" s="1"/>
  <c r="P738" i="2"/>
  <c r="N738" i="2"/>
  <c r="M738" i="2"/>
  <c r="L738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P690" i="2"/>
  <c r="N690" i="2"/>
  <c r="N687" i="2" s="1"/>
  <c r="L690" i="2"/>
  <c r="L688" i="2" s="1"/>
  <c r="O688" i="2" s="1"/>
  <c r="M688" i="2"/>
  <c r="P688" i="2" s="1"/>
  <c r="P687" i="2"/>
  <c r="M687" i="2"/>
  <c r="P686" i="2"/>
  <c r="O686" i="2"/>
  <c r="N686" i="2"/>
  <c r="M686" i="2"/>
  <c r="L686" i="2"/>
  <c r="P685" i="2"/>
  <c r="M685" i="2"/>
  <c r="J679" i="2"/>
  <c r="J678" i="2"/>
  <c r="I678" i="2"/>
  <c r="K678" i="2" s="1"/>
  <c r="J675" i="2"/>
  <c r="I671" i="2"/>
  <c r="K671" i="2" s="1"/>
  <c r="I670" i="2"/>
  <c r="K670" i="2" s="1"/>
  <c r="J669" i="2"/>
  <c r="I669" i="2"/>
  <c r="K672" i="2" s="1"/>
  <c r="P667" i="2"/>
  <c r="O667" i="2"/>
  <c r="P666" i="2"/>
  <c r="O666" i="2"/>
  <c r="P665" i="2"/>
  <c r="O665" i="2"/>
  <c r="N665" i="2"/>
  <c r="M665" i="2"/>
  <c r="L665" i="2"/>
  <c r="P660" i="2"/>
  <c r="N660" i="2"/>
  <c r="N657" i="2" s="1"/>
  <c r="L660" i="2"/>
  <c r="O660" i="2" s="1"/>
  <c r="P659" i="2"/>
  <c r="O659" i="2"/>
  <c r="P658" i="2"/>
  <c r="N658" i="2"/>
  <c r="M658" i="2"/>
  <c r="M657" i="2"/>
  <c r="P657" i="2" s="1"/>
  <c r="N656" i="2"/>
  <c r="N655" i="2" s="1"/>
  <c r="M656" i="2"/>
  <c r="P656" i="2" s="1"/>
  <c r="L656" i="2"/>
  <c r="M655" i="2"/>
  <c r="P655" i="2" s="1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N639" i="2"/>
  <c r="M639" i="2"/>
  <c r="P639" i="2" s="1"/>
  <c r="P634" i="2"/>
  <c r="N634" i="2"/>
  <c r="L634" i="2"/>
  <c r="L632" i="2" s="1"/>
  <c r="O632" i="2" s="1"/>
  <c r="P633" i="2"/>
  <c r="O633" i="2"/>
  <c r="P632" i="2"/>
  <c r="N632" i="2"/>
  <c r="M632" i="2"/>
  <c r="P631" i="2"/>
  <c r="N631" i="2"/>
  <c r="M631" i="2"/>
  <c r="P630" i="2"/>
  <c r="O630" i="2"/>
  <c r="N630" i="2"/>
  <c r="N629" i="2" s="1"/>
  <c r="M630" i="2"/>
  <c r="M629" i="2" s="1"/>
  <c r="P629" i="2" s="1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4" i="2"/>
  <c r="I594" i="2"/>
  <c r="K594" i="2" s="1"/>
  <c r="J593" i="2"/>
  <c r="I593" i="2"/>
  <c r="I592" i="2" s="1"/>
  <c r="K592" i="2" s="1"/>
  <c r="J592" i="2"/>
  <c r="J583" i="2"/>
  <c r="J577" i="2" s="1"/>
  <c r="J582" i="2"/>
  <c r="J576" i="2" s="1"/>
  <c r="J559" i="2" s="1"/>
  <c r="J543" i="2" s="1"/>
  <c r="I577" i="2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P556" i="2"/>
  <c r="O556" i="2"/>
  <c r="N555" i="2"/>
  <c r="N545" i="2" s="1"/>
  <c r="M555" i="2"/>
  <c r="P555" i="2" s="1"/>
  <c r="P549" i="2"/>
  <c r="N549" i="2"/>
  <c r="L549" i="2"/>
  <c r="O549" i="2" s="1"/>
  <c r="P548" i="2"/>
  <c r="O548" i="2"/>
  <c r="N547" i="2"/>
  <c r="M547" i="2"/>
  <c r="P547" i="2" s="1"/>
  <c r="N546" i="2"/>
  <c r="M546" i="2"/>
  <c r="P546" i="2" s="1"/>
  <c r="M545" i="2"/>
  <c r="M544" i="2" s="1"/>
  <c r="P544" i="2" s="1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P535" i="2"/>
  <c r="L535" i="2"/>
  <c r="O535" i="2" s="1"/>
  <c r="P534" i="2"/>
  <c r="O534" i="2"/>
  <c r="N533" i="2"/>
  <c r="M533" i="2"/>
  <c r="P533" i="2" s="1"/>
  <c r="P528" i="2"/>
  <c r="N528" i="2"/>
  <c r="L528" i="2"/>
  <c r="P527" i="2"/>
  <c r="O527" i="2"/>
  <c r="P526" i="2"/>
  <c r="N526" i="2"/>
  <c r="M526" i="2"/>
  <c r="P525" i="2"/>
  <c r="N525" i="2"/>
  <c r="M525" i="2"/>
  <c r="P524" i="2"/>
  <c r="O524" i="2"/>
  <c r="N524" i="2"/>
  <c r="N523" i="2" s="1"/>
  <c r="M524" i="2"/>
  <c r="L524" i="2"/>
  <c r="P523" i="2"/>
  <c r="M523" i="2"/>
  <c r="K517" i="2"/>
  <c r="J517" i="2"/>
  <c r="J501" i="2" s="1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O505" i="2"/>
  <c r="N505" i="2"/>
  <c r="M505" i="2"/>
  <c r="L505" i="2"/>
  <c r="P504" i="2"/>
  <c r="O504" i="2"/>
  <c r="N504" i="2"/>
  <c r="M504" i="2"/>
  <c r="L504" i="2"/>
  <c r="O503" i="2"/>
  <c r="N503" i="2"/>
  <c r="M503" i="2"/>
  <c r="M502" i="2" s="1"/>
  <c r="P502" i="2" s="1"/>
  <c r="L503" i="2"/>
  <c r="L502" i="2" s="1"/>
  <c r="O502" i="2" s="1"/>
  <c r="N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P477" i="2"/>
  <c r="N477" i="2"/>
  <c r="M477" i="2"/>
  <c r="P472" i="2"/>
  <c r="N472" i="2"/>
  <c r="L472" i="2"/>
  <c r="L470" i="2" s="1"/>
  <c r="O470" i="2" s="1"/>
  <c r="P471" i="2"/>
  <c r="O471" i="2"/>
  <c r="N470" i="2"/>
  <c r="M470" i="2"/>
  <c r="P470" i="2" s="1"/>
  <c r="M469" i="2"/>
  <c r="P469" i="2" s="1"/>
  <c r="O468" i="2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K462" i="2" s="1"/>
  <c r="I460" i="2"/>
  <c r="K458" i="2"/>
  <c r="P456" i="2"/>
  <c r="L456" i="2"/>
  <c r="P455" i="2"/>
  <c r="O455" i="2"/>
  <c r="N454" i="2"/>
  <c r="M454" i="2"/>
  <c r="P454" i="2" s="1"/>
  <c r="P449" i="2"/>
  <c r="N449" i="2"/>
  <c r="L449" i="2"/>
  <c r="O449" i="2" s="1"/>
  <c r="P448" i="2"/>
  <c r="O448" i="2"/>
  <c r="P447" i="2"/>
  <c r="N447" i="2"/>
  <c r="M447" i="2"/>
  <c r="N446" i="2"/>
  <c r="M446" i="2"/>
  <c r="P446" i="2" s="1"/>
  <c r="P445" i="2"/>
  <c r="N445" i="2"/>
  <c r="M445" i="2"/>
  <c r="M444" i="2" s="1"/>
  <c r="P444" i="2" s="1"/>
  <c r="L445" i="2"/>
  <c r="O445" i="2" s="1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I433" i="2" s="1"/>
  <c r="J434" i="2"/>
  <c r="P431" i="2"/>
  <c r="L431" i="2"/>
  <c r="P430" i="2"/>
  <c r="O430" i="2"/>
  <c r="P429" i="2"/>
  <c r="N429" i="2"/>
  <c r="M429" i="2"/>
  <c r="P424" i="2"/>
  <c r="N424" i="2"/>
  <c r="L424" i="2"/>
  <c r="O424" i="2" s="1"/>
  <c r="P423" i="2"/>
  <c r="O423" i="2"/>
  <c r="P422" i="2"/>
  <c r="N422" i="2"/>
  <c r="M422" i="2"/>
  <c r="N421" i="2"/>
  <c r="M421" i="2"/>
  <c r="P421" i="2" s="1"/>
  <c r="N420" i="2"/>
  <c r="N419" i="2" s="1"/>
  <c r="M420" i="2"/>
  <c r="M419" i="2" s="1"/>
  <c r="L420" i="2"/>
  <c r="O420" i="2" s="1"/>
  <c r="J418" i="2"/>
  <c r="K413" i="2"/>
  <c r="K412" i="2"/>
  <c r="N410" i="2"/>
  <c r="N408" i="2" s="1"/>
  <c r="M410" i="2"/>
  <c r="L410" i="2"/>
  <c r="P409" i="2"/>
  <c r="O409" i="2"/>
  <c r="N407" i="2"/>
  <c r="N405" i="2" s="1"/>
  <c r="M407" i="2"/>
  <c r="M405" i="2" s="1"/>
  <c r="P405" i="2" s="1"/>
  <c r="L407" i="2"/>
  <c r="L405" i="2" s="1"/>
  <c r="O405" i="2" s="1"/>
  <c r="P406" i="2"/>
  <c r="O406" i="2"/>
  <c r="N403" i="2"/>
  <c r="M403" i="2"/>
  <c r="P403" i="2" s="1"/>
  <c r="L403" i="2"/>
  <c r="J401" i="2"/>
  <c r="K401" i="2" s="1"/>
  <c r="I401" i="2"/>
  <c r="K400" i="2"/>
  <c r="K399" i="2"/>
  <c r="N397" i="2"/>
  <c r="M397" i="2"/>
  <c r="L397" i="2"/>
  <c r="L395" i="2" s="1"/>
  <c r="P396" i="2"/>
  <c r="O396" i="2"/>
  <c r="N394" i="2"/>
  <c r="M394" i="2"/>
  <c r="P394" i="2" s="1"/>
  <c r="L394" i="2"/>
  <c r="O394" i="2" s="1"/>
  <c r="P393" i="2"/>
  <c r="O393" i="2"/>
  <c r="N390" i="2"/>
  <c r="M390" i="2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L353" i="2"/>
  <c r="L351" i="2" s="1"/>
  <c r="P352" i="2"/>
  <c r="O352" i="2"/>
  <c r="N350" i="2"/>
  <c r="M350" i="2"/>
  <c r="M348" i="2" s="1"/>
  <c r="L350" i="2"/>
  <c r="L348" i="2" s="1"/>
  <c r="P349" i="2"/>
  <c r="O349" i="2"/>
  <c r="P346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L334" i="2" s="1"/>
  <c r="O334" i="2" s="1"/>
  <c r="P335" i="2"/>
  <c r="O335" i="2"/>
  <c r="N333" i="2"/>
  <c r="M333" i="2"/>
  <c r="M331" i="2" s="1"/>
  <c r="L333" i="2"/>
  <c r="L331" i="2" s="1"/>
  <c r="P332" i="2"/>
  <c r="O332" i="2"/>
  <c r="N329" i="2"/>
  <c r="M329" i="2"/>
  <c r="L329" i="2"/>
  <c r="O329" i="2" s="1"/>
  <c r="I327" i="2"/>
  <c r="I325" i="2"/>
  <c r="K325" i="2" s="1"/>
  <c r="N323" i="2"/>
  <c r="N321" i="2" s="1"/>
  <c r="M323" i="2"/>
  <c r="L323" i="2"/>
  <c r="L321" i="2" s="1"/>
  <c r="P322" i="2"/>
  <c r="O322" i="2"/>
  <c r="N320" i="2"/>
  <c r="N318" i="2" s="1"/>
  <c r="M320" i="2"/>
  <c r="M318" i="2" s="1"/>
  <c r="L320" i="2"/>
  <c r="P319" i="2"/>
  <c r="O319" i="2"/>
  <c r="P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N304" i="2" s="1"/>
  <c r="M306" i="2"/>
  <c r="P306" i="2" s="1"/>
  <c r="L306" i="2"/>
  <c r="L304" i="2" s="1"/>
  <c r="O304" i="2" s="1"/>
  <c r="P305" i="2"/>
  <c r="O305" i="2"/>
  <c r="N303" i="2"/>
  <c r="M303" i="2"/>
  <c r="P303" i="2" s="1"/>
  <c r="L303" i="2"/>
  <c r="P302" i="2"/>
  <c r="O302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I276" i="2" s="1"/>
  <c r="K276" i="2" s="1"/>
  <c r="N285" i="2"/>
  <c r="N283" i="2" s="1"/>
  <c r="M285" i="2"/>
  <c r="L285" i="2"/>
  <c r="L283" i="2" s="1"/>
  <c r="O283" i="2" s="1"/>
  <c r="P284" i="2"/>
  <c r="O284" i="2"/>
  <c r="N282" i="2"/>
  <c r="N280" i="2" s="1"/>
  <c r="M282" i="2"/>
  <c r="L282" i="2"/>
  <c r="L280" i="2" s="1"/>
  <c r="P281" i="2"/>
  <c r="O281" i="2"/>
  <c r="P278" i="2"/>
  <c r="N278" i="2"/>
  <c r="M278" i="2"/>
  <c r="L278" i="2"/>
  <c r="J276" i="2"/>
  <c r="I271" i="2"/>
  <c r="N269" i="2"/>
  <c r="N267" i="2" s="1"/>
  <c r="M269" i="2"/>
  <c r="P269" i="2" s="1"/>
  <c r="L269" i="2"/>
  <c r="P268" i="2"/>
  <c r="O268" i="2"/>
  <c r="N266" i="2"/>
  <c r="M266" i="2"/>
  <c r="P266" i="2" s="1"/>
  <c r="L266" i="2"/>
  <c r="P265" i="2"/>
  <c r="O265" i="2"/>
  <c r="P262" i="2"/>
  <c r="O262" i="2"/>
  <c r="N262" i="2"/>
  <c r="M262" i="2"/>
  <c r="L262" i="2"/>
  <c r="J260" i="2"/>
  <c r="K258" i="2"/>
  <c r="K257" i="2"/>
  <c r="K255" i="2"/>
  <c r="L253" i="2"/>
  <c r="L252" i="2"/>
  <c r="L251" i="2"/>
  <c r="L250" i="2"/>
  <c r="P249" i="2"/>
  <c r="N249" i="2"/>
  <c r="J248" i="2"/>
  <c r="K247" i="2"/>
  <c r="K246" i="2"/>
  <c r="I244" i="2"/>
  <c r="I237" i="2" s="1"/>
  <c r="K237" i="2" s="1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O189" i="2" s="1"/>
  <c r="P188" i="2"/>
  <c r="O188" i="2"/>
  <c r="N186" i="2"/>
  <c r="N184" i="2" s="1"/>
  <c r="M186" i="2"/>
  <c r="L186" i="2"/>
  <c r="P185" i="2"/>
  <c r="O185" i="2"/>
  <c r="P182" i="2"/>
  <c r="O182" i="2"/>
  <c r="N182" i="2"/>
  <c r="M182" i="2"/>
  <c r="L182" i="2"/>
  <c r="J177" i="2"/>
  <c r="J164" i="2" s="1"/>
  <c r="I176" i="2"/>
  <c r="K176" i="2" s="1"/>
  <c r="J174" i="2"/>
  <c r="N173" i="2"/>
  <c r="N171" i="2" s="1"/>
  <c r="M173" i="2"/>
  <c r="M171" i="2" s="1"/>
  <c r="P171" i="2" s="1"/>
  <c r="L173" i="2"/>
  <c r="O173" i="2" s="1"/>
  <c r="P172" i="2"/>
  <c r="O172" i="2"/>
  <c r="N170" i="2"/>
  <c r="M170" i="2"/>
  <c r="M168" i="2" s="1"/>
  <c r="P168" i="2" s="1"/>
  <c r="L170" i="2"/>
  <c r="O170" i="2" s="1"/>
  <c r="P169" i="2"/>
  <c r="O169" i="2"/>
  <c r="P166" i="2"/>
  <c r="O166" i="2"/>
  <c r="N166" i="2"/>
  <c r="M166" i="2"/>
  <c r="L166" i="2"/>
  <c r="I159" i="2"/>
  <c r="K159" i="2" s="1"/>
  <c r="N157" i="2"/>
  <c r="N155" i="2" s="1"/>
  <c r="M157" i="2"/>
  <c r="P157" i="2" s="1"/>
  <c r="L157" i="2"/>
  <c r="P156" i="2"/>
  <c r="O156" i="2"/>
  <c r="N154" i="2"/>
  <c r="N152" i="2" s="1"/>
  <c r="M154" i="2"/>
  <c r="P154" i="2" s="1"/>
  <c r="L154" i="2"/>
  <c r="P153" i="2"/>
  <c r="O153" i="2"/>
  <c r="P150" i="2"/>
  <c r="N150" i="2"/>
  <c r="M150" i="2"/>
  <c r="L150" i="2"/>
  <c r="O150" i="2" s="1"/>
  <c r="J148" i="2"/>
  <c r="I146" i="2"/>
  <c r="I130" i="2" s="1"/>
  <c r="K130" i="2" s="1"/>
  <c r="I145" i="2"/>
  <c r="K145" i="2" s="1"/>
  <c r="I144" i="2"/>
  <c r="K144" i="2" s="1"/>
  <c r="N140" i="2"/>
  <c r="N138" i="2" s="1"/>
  <c r="M140" i="2"/>
  <c r="P140" i="2" s="1"/>
  <c r="L140" i="2"/>
  <c r="L138" i="2" s="1"/>
  <c r="O138" i="2" s="1"/>
  <c r="P139" i="2"/>
  <c r="O139" i="2"/>
  <c r="N137" i="2"/>
  <c r="N135" i="2" s="1"/>
  <c r="M137" i="2"/>
  <c r="P137" i="2" s="1"/>
  <c r="L137" i="2"/>
  <c r="L135" i="2" s="1"/>
  <c r="O135" i="2" s="1"/>
  <c r="P136" i="2"/>
  <c r="O136" i="2"/>
  <c r="O133" i="2"/>
  <c r="N133" i="2"/>
  <c r="M133" i="2"/>
  <c r="P133" i="2" s="1"/>
  <c r="L133" i="2"/>
  <c r="J130" i="2"/>
  <c r="N127" i="2"/>
  <c r="N125" i="2" s="1"/>
  <c r="M127" i="2"/>
  <c r="P127" i="2" s="1"/>
  <c r="L127" i="2"/>
  <c r="L125" i="2" s="1"/>
  <c r="O125" i="2" s="1"/>
  <c r="P126" i="2"/>
  <c r="O126" i="2"/>
  <c r="N124" i="2"/>
  <c r="M124" i="2"/>
  <c r="P124" i="2" s="1"/>
  <c r="L124" i="2"/>
  <c r="P123" i="2"/>
  <c r="O123" i="2"/>
  <c r="P120" i="2"/>
  <c r="N120" i="2"/>
  <c r="M120" i="2"/>
  <c r="L120" i="2"/>
  <c r="O120" i="2" s="1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K99" i="2" s="1"/>
  <c r="J98" i="2"/>
  <c r="I98" i="2"/>
  <c r="I86" i="2" s="1"/>
  <c r="K86" i="2" s="1"/>
  <c r="N96" i="2"/>
  <c r="N94" i="2" s="1"/>
  <c r="M96" i="2"/>
  <c r="M94" i="2" s="1"/>
  <c r="P94" i="2" s="1"/>
  <c r="L96" i="2"/>
  <c r="O96" i="2" s="1"/>
  <c r="P95" i="2"/>
  <c r="O95" i="2"/>
  <c r="N93" i="2"/>
  <c r="N91" i="2" s="1"/>
  <c r="M93" i="2"/>
  <c r="M91" i="2" s="1"/>
  <c r="L93" i="2"/>
  <c r="P92" i="2"/>
  <c r="O92" i="2"/>
  <c r="P89" i="2"/>
  <c r="O89" i="2"/>
  <c r="N89" i="2"/>
  <c r="M89" i="2"/>
  <c r="L89" i="2"/>
  <c r="J86" i="2"/>
  <c r="I84" i="2"/>
  <c r="K84" i="2" s="1"/>
  <c r="I83" i="2"/>
  <c r="I82" i="2"/>
  <c r="K82" i="2" s="1"/>
  <c r="I81" i="2"/>
  <c r="K81" i="2" s="1"/>
  <c r="I80" i="2"/>
  <c r="I79" i="2"/>
  <c r="K79" i="2" s="1"/>
  <c r="I78" i="2"/>
  <c r="K78" i="2" s="1"/>
  <c r="J77" i="2"/>
  <c r="J76" i="2"/>
  <c r="J64" i="2" s="1"/>
  <c r="N74" i="2"/>
  <c r="N72" i="2" s="1"/>
  <c r="M74" i="2"/>
  <c r="M72" i="2" s="1"/>
  <c r="P72" i="2" s="1"/>
  <c r="L74" i="2"/>
  <c r="L72" i="2" s="1"/>
  <c r="O72" i="2" s="1"/>
  <c r="P73" i="2"/>
  <c r="O73" i="2"/>
  <c r="N71" i="2"/>
  <c r="N69" i="2" s="1"/>
  <c r="M71" i="2"/>
  <c r="L71" i="2"/>
  <c r="L69" i="2" s="1"/>
  <c r="P70" i="2"/>
  <c r="O70" i="2"/>
  <c r="O67" i="2"/>
  <c r="N67" i="2"/>
  <c r="M67" i="2"/>
  <c r="P67" i="2" s="1"/>
  <c r="L67" i="2"/>
  <c r="J65" i="2"/>
  <c r="N61" i="2"/>
  <c r="N59" i="2" s="1"/>
  <c r="M61" i="2"/>
  <c r="P61" i="2" s="1"/>
  <c r="L61" i="2"/>
  <c r="L59" i="2" s="1"/>
  <c r="O59" i="2" s="1"/>
  <c r="P60" i="2"/>
  <c r="O60" i="2"/>
  <c r="N58" i="2"/>
  <c r="M58" i="2"/>
  <c r="M56" i="2" s="1"/>
  <c r="L58" i="2"/>
  <c r="L56" i="2" s="1"/>
  <c r="P57" i="2"/>
  <c r="O57" i="2"/>
  <c r="P54" i="2"/>
  <c r="N54" i="2"/>
  <c r="M54" i="2"/>
  <c r="L54" i="2"/>
  <c r="N49" i="2"/>
  <c r="N47" i="2" s="1"/>
  <c r="M49" i="2"/>
  <c r="P49" i="2" s="1"/>
  <c r="L49" i="2"/>
  <c r="O49" i="2" s="1"/>
  <c r="P48" i="2"/>
  <c r="O48" i="2"/>
  <c r="N46" i="2"/>
  <c r="N44" i="2" s="1"/>
  <c r="M46" i="2"/>
  <c r="L46" i="2"/>
  <c r="L44" i="2" s="1"/>
  <c r="P45" i="2"/>
  <c r="O45" i="2"/>
  <c r="O42" i="2"/>
  <c r="N42" i="2"/>
  <c r="M42" i="2"/>
  <c r="P42" i="2" s="1"/>
  <c r="L42" i="2"/>
  <c r="P36" i="2"/>
  <c r="N36" i="2"/>
  <c r="M36" i="2"/>
  <c r="P35" i="2"/>
  <c r="O35" i="2"/>
  <c r="N35" i="2"/>
  <c r="M35" i="2"/>
  <c r="M34" i="2" s="1"/>
  <c r="L35" i="2"/>
  <c r="P34" i="2"/>
  <c r="N34" i="2"/>
  <c r="N33" i="2"/>
  <c r="M33" i="2"/>
  <c r="P32" i="2"/>
  <c r="N32" i="2"/>
  <c r="M32" i="2"/>
  <c r="L32" i="2"/>
  <c r="M31" i="2"/>
  <c r="P31" i="2" s="1"/>
  <c r="M29" i="2"/>
  <c r="N25" i="2"/>
  <c r="M25" i="2"/>
  <c r="P25" i="2" s="1"/>
  <c r="L25" i="2"/>
  <c r="O22" i="2"/>
  <c r="N22" i="2"/>
  <c r="M22" i="2"/>
  <c r="L22" i="2"/>
  <c r="L19" i="2"/>
  <c r="O19" i="2" s="1"/>
  <c r="M15" i="2"/>
  <c r="N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P817" i="1"/>
  <c r="O817" i="1"/>
  <c r="P816" i="1"/>
  <c r="O816" i="1"/>
  <c r="N815" i="1"/>
  <c r="M815" i="1"/>
  <c r="P815" i="1" s="1"/>
  <c r="L815" i="1"/>
  <c r="O815" i="1" s="1"/>
  <c r="P810" i="1"/>
  <c r="O810" i="1"/>
  <c r="N810" i="1"/>
  <c r="N807" i="1" s="1"/>
  <c r="P809" i="1"/>
  <c r="O809" i="1"/>
  <c r="P808" i="1"/>
  <c r="M808" i="1"/>
  <c r="L808" i="1"/>
  <c r="O808" i="1" s="1"/>
  <c r="P807" i="1"/>
  <c r="O807" i="1"/>
  <c r="M807" i="1"/>
  <c r="L807" i="1"/>
  <c r="P806" i="1"/>
  <c r="O806" i="1"/>
  <c r="N806" i="1"/>
  <c r="N805" i="1" s="1"/>
  <c r="M806" i="1"/>
  <c r="L806" i="1"/>
  <c r="L805" i="1" s="1"/>
  <c r="O805" i="1" s="1"/>
  <c r="M805" i="1"/>
  <c r="P805" i="1" s="1"/>
  <c r="K804" i="1"/>
  <c r="J804" i="1"/>
  <c r="K802" i="1"/>
  <c r="J801" i="1"/>
  <c r="J800" i="1"/>
  <c r="J785" i="1" s="1"/>
  <c r="I800" i="1"/>
  <c r="I785" i="1" s="1"/>
  <c r="K785" i="1" s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P791" i="1"/>
  <c r="L791" i="1"/>
  <c r="O791" i="1" s="1"/>
  <c r="P790" i="1"/>
  <c r="O790" i="1"/>
  <c r="M789" i="1"/>
  <c r="P789" i="1" s="1"/>
  <c r="M788" i="1"/>
  <c r="P788" i="1" s="1"/>
  <c r="N787" i="1"/>
  <c r="M787" i="1"/>
  <c r="M786" i="1" s="1"/>
  <c r="P786" i="1" s="1"/>
  <c r="L787" i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N773" i="1" s="1"/>
  <c r="P774" i="1"/>
  <c r="O774" i="1"/>
  <c r="P773" i="1"/>
  <c r="O773" i="1"/>
  <c r="M773" i="1"/>
  <c r="L773" i="1"/>
  <c r="O772" i="1"/>
  <c r="N772" i="1"/>
  <c r="M772" i="1"/>
  <c r="P772" i="1" s="1"/>
  <c r="L772" i="1"/>
  <c r="N771" i="1"/>
  <c r="N770" i="1" s="1"/>
  <c r="M771" i="1"/>
  <c r="L771" i="1"/>
  <c r="O771" i="1" s="1"/>
  <c r="L770" i="1"/>
  <c r="O770" i="1" s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N757" i="1" s="1"/>
  <c r="P758" i="1"/>
  <c r="O758" i="1"/>
  <c r="P757" i="1"/>
  <c r="O757" i="1"/>
  <c r="M757" i="1"/>
  <c r="L757" i="1"/>
  <c r="O756" i="1"/>
  <c r="N756" i="1"/>
  <c r="M756" i="1"/>
  <c r="P756" i="1" s="1"/>
  <c r="L756" i="1"/>
  <c r="N755" i="1"/>
  <c r="M755" i="1"/>
  <c r="L755" i="1"/>
  <c r="O755" i="1" s="1"/>
  <c r="L754" i="1"/>
  <c r="O754" i="1" s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N740" i="1" s="1"/>
  <c r="P741" i="1"/>
  <c r="O741" i="1"/>
  <c r="P740" i="1"/>
  <c r="O740" i="1"/>
  <c r="M740" i="1"/>
  <c r="L740" i="1"/>
  <c r="O739" i="1"/>
  <c r="N739" i="1"/>
  <c r="M739" i="1"/>
  <c r="P739" i="1" s="1"/>
  <c r="L739" i="1"/>
  <c r="N738" i="1"/>
  <c r="N737" i="1" s="1"/>
  <c r="M738" i="1"/>
  <c r="L738" i="1"/>
  <c r="O738" i="1" s="1"/>
  <c r="L737" i="1"/>
  <c r="O737" i="1" s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P690" i="1"/>
  <c r="L690" i="1"/>
  <c r="P688" i="1"/>
  <c r="M688" i="1"/>
  <c r="M687" i="1"/>
  <c r="P687" i="1" s="1"/>
  <c r="N686" i="1"/>
  <c r="M686" i="1"/>
  <c r="M685" i="1" s="1"/>
  <c r="P685" i="1" s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P660" i="1"/>
  <c r="L660" i="1"/>
  <c r="L658" i="1" s="1"/>
  <c r="P659" i="1"/>
  <c r="O659" i="1"/>
  <c r="M658" i="1"/>
  <c r="P658" i="1" s="1"/>
  <c r="M657" i="1"/>
  <c r="P657" i="1" s="1"/>
  <c r="P656" i="1"/>
  <c r="N656" i="1"/>
  <c r="M656" i="1"/>
  <c r="M655" i="1" s="1"/>
  <c r="P655" i="1" s="1"/>
  <c r="L656" i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P634" i="1"/>
  <c r="L634" i="1"/>
  <c r="L632" i="1" s="1"/>
  <c r="P633" i="1"/>
  <c r="O633" i="1"/>
  <c r="P632" i="1"/>
  <c r="M632" i="1"/>
  <c r="M631" i="1"/>
  <c r="P631" i="1" s="1"/>
  <c r="P630" i="1"/>
  <c r="N630" i="1"/>
  <c r="M630" i="1"/>
  <c r="L630" i="1"/>
  <c r="O630" i="1" s="1"/>
  <c r="M629" i="1"/>
  <c r="P629" i="1" s="1"/>
  <c r="J627" i="1"/>
  <c r="J626" i="1"/>
  <c r="J625" i="1"/>
  <c r="J624" i="1"/>
  <c r="J623" i="1"/>
  <c r="J622" i="1"/>
  <c r="I621" i="1"/>
  <c r="K621" i="1" s="1"/>
  <c r="I620" i="1"/>
  <c r="K620" i="1" s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N545" i="1" s="1"/>
  <c r="M555" i="1"/>
  <c r="N554" i="1"/>
  <c r="N553" i="1"/>
  <c r="N552" i="1"/>
  <c r="N551" i="1"/>
  <c r="N550" i="1"/>
  <c r="P549" i="1"/>
  <c r="L549" i="1"/>
  <c r="L547" i="1" s="1"/>
  <c r="P548" i="1"/>
  <c r="O548" i="1"/>
  <c r="M547" i="1"/>
  <c r="P547" i="1" s="1"/>
  <c r="M546" i="1"/>
  <c r="P546" i="1" s="1"/>
  <c r="M545" i="1"/>
  <c r="M544" i="1" s="1"/>
  <c r="P544" i="1" s="1"/>
  <c r="L545" i="1"/>
  <c r="O545" i="1" s="1"/>
  <c r="J542" i="1"/>
  <c r="I542" i="1"/>
  <c r="J541" i="1"/>
  <c r="I541" i="1"/>
  <c r="J540" i="1"/>
  <c r="I540" i="1"/>
  <c r="J539" i="1"/>
  <c r="I539" i="1"/>
  <c r="J538" i="1"/>
  <c r="I538" i="1"/>
  <c r="I537" i="1"/>
  <c r="P535" i="1"/>
  <c r="L535" i="1"/>
  <c r="P534" i="1"/>
  <c r="O534" i="1"/>
  <c r="N533" i="1"/>
  <c r="M533" i="1"/>
  <c r="P533" i="1" s="1"/>
  <c r="N532" i="1"/>
  <c r="N531" i="1"/>
  <c r="N530" i="1"/>
  <c r="N529" i="1"/>
  <c r="P528" i="1"/>
  <c r="L528" i="1"/>
  <c r="P527" i="1"/>
  <c r="O527" i="1"/>
  <c r="P526" i="1"/>
  <c r="M526" i="1"/>
  <c r="M525" i="1"/>
  <c r="P525" i="1" s="1"/>
  <c r="N524" i="1"/>
  <c r="M524" i="1"/>
  <c r="P524" i="1" s="1"/>
  <c r="L524" i="1"/>
  <c r="O524" i="1" s="1"/>
  <c r="M523" i="1"/>
  <c r="P523" i="1" s="1"/>
  <c r="K517" i="1"/>
  <c r="J517" i="1"/>
  <c r="J501" i="1" s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4" i="1" s="1"/>
  <c r="P506" i="1"/>
  <c r="O506" i="1"/>
  <c r="N505" i="1"/>
  <c r="M505" i="1"/>
  <c r="P505" i="1" s="1"/>
  <c r="L505" i="1"/>
  <c r="O505" i="1" s="1"/>
  <c r="M504" i="1"/>
  <c r="M502" i="1" s="1"/>
  <c r="P502" i="1" s="1"/>
  <c r="L504" i="1"/>
  <c r="O504" i="1" s="1"/>
  <c r="P503" i="1"/>
  <c r="O503" i="1"/>
  <c r="N503" i="1"/>
  <c r="M503" i="1"/>
  <c r="L503" i="1"/>
  <c r="L502" i="1" s="1"/>
  <c r="O502" i="1" s="1"/>
  <c r="N502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N477" i="1"/>
  <c r="M477" i="1"/>
  <c r="P477" i="1" s="1"/>
  <c r="N476" i="1"/>
  <c r="N475" i="1"/>
  <c r="N474" i="1"/>
  <c r="N473" i="1"/>
  <c r="P472" i="1"/>
  <c r="L472" i="1"/>
  <c r="L470" i="1" s="1"/>
  <c r="P471" i="1"/>
  <c r="O471" i="1"/>
  <c r="M470" i="1"/>
  <c r="P470" i="1" s="1"/>
  <c r="P469" i="1"/>
  <c r="M469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I442" i="1" s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P449" i="1"/>
  <c r="L449" i="1"/>
  <c r="L447" i="1" s="1"/>
  <c r="P448" i="1"/>
  <c r="O448" i="1"/>
  <c r="M447" i="1"/>
  <c r="P447" i="1" s="1"/>
  <c r="M446" i="1"/>
  <c r="P446" i="1" s="1"/>
  <c r="P445" i="1"/>
  <c r="N445" i="1"/>
  <c r="M445" i="1"/>
  <c r="M444" i="1" s="1"/>
  <c r="P444" i="1" s="1"/>
  <c r="L445" i="1"/>
  <c r="O445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P424" i="1"/>
  <c r="L424" i="1"/>
  <c r="P423" i="1"/>
  <c r="O423" i="1"/>
  <c r="M422" i="1"/>
  <c r="P422" i="1" s="1"/>
  <c r="P421" i="1"/>
  <c r="M421" i="1"/>
  <c r="O420" i="1"/>
  <c r="N420" i="1"/>
  <c r="M420" i="1"/>
  <c r="M419" i="1" s="1"/>
  <c r="L420" i="1"/>
  <c r="J413" i="1"/>
  <c r="I413" i="1"/>
  <c r="K413" i="1" s="1"/>
  <c r="J412" i="1"/>
  <c r="J401" i="1" s="1"/>
  <c r="I412" i="1"/>
  <c r="N410" i="1"/>
  <c r="N408" i="1" s="1"/>
  <c r="M410" i="1"/>
  <c r="L410" i="1"/>
  <c r="L408" i="1" s="1"/>
  <c r="P409" i="1"/>
  <c r="O409" i="1"/>
  <c r="N407" i="1"/>
  <c r="N405" i="1" s="1"/>
  <c r="M407" i="1"/>
  <c r="M405" i="1" s="1"/>
  <c r="P405" i="1" s="1"/>
  <c r="L407" i="1"/>
  <c r="L405" i="1" s="1"/>
  <c r="O405" i="1" s="1"/>
  <c r="P406" i="1"/>
  <c r="O406" i="1"/>
  <c r="N403" i="1"/>
  <c r="M403" i="1"/>
  <c r="P403" i="1" s="1"/>
  <c r="L403" i="1"/>
  <c r="J400" i="1"/>
  <c r="J388" i="1" s="1"/>
  <c r="I400" i="1"/>
  <c r="I388" i="1" s="1"/>
  <c r="K388" i="1" s="1"/>
  <c r="J399" i="1"/>
  <c r="I399" i="1"/>
  <c r="K399" i="1" s="1"/>
  <c r="N397" i="1"/>
  <c r="M397" i="1"/>
  <c r="M395" i="1" s="1"/>
  <c r="L397" i="1"/>
  <c r="P396" i="1"/>
  <c r="O396" i="1"/>
  <c r="N394" i="1"/>
  <c r="M394" i="1"/>
  <c r="P394" i="1" s="1"/>
  <c r="L394" i="1"/>
  <c r="P393" i="1"/>
  <c r="O393" i="1"/>
  <c r="O390" i="1"/>
  <c r="N390" i="1"/>
  <c r="M390" i="1"/>
  <c r="P390" i="1" s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N348" i="1" s="1"/>
  <c r="M350" i="1"/>
  <c r="L350" i="1"/>
  <c r="P349" i="1"/>
  <c r="O349" i="1"/>
  <c r="N346" i="1"/>
  <c r="M346" i="1"/>
  <c r="P346" i="1" s="1"/>
  <c r="L346" i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P335" i="1"/>
  <c r="O335" i="1"/>
  <c r="N333" i="1"/>
  <c r="M333" i="1"/>
  <c r="L333" i="1"/>
  <c r="P332" i="1"/>
  <c r="O332" i="1"/>
  <c r="O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M321" i="1" s="1"/>
  <c r="L323" i="1"/>
  <c r="L321" i="1" s="1"/>
  <c r="P322" i="1"/>
  <c r="O322" i="1"/>
  <c r="N320" i="1"/>
  <c r="M320" i="1"/>
  <c r="L320" i="1"/>
  <c r="L318" i="1" s="1"/>
  <c r="P319" i="1"/>
  <c r="O319" i="1"/>
  <c r="P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P306" i="1" s="1"/>
  <c r="L306" i="1"/>
  <c r="O306" i="1" s="1"/>
  <c r="P305" i="1"/>
  <c r="O305" i="1"/>
  <c r="N303" i="1"/>
  <c r="M303" i="1"/>
  <c r="M301" i="1" s="1"/>
  <c r="L303" i="1"/>
  <c r="L301" i="1" s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N285" i="1"/>
  <c r="N283" i="1" s="1"/>
  <c r="M285" i="1"/>
  <c r="P285" i="1" s="1"/>
  <c r="L285" i="1"/>
  <c r="L283" i="1" s="1"/>
  <c r="O283" i="1" s="1"/>
  <c r="P284" i="1"/>
  <c r="O284" i="1"/>
  <c r="N282" i="1"/>
  <c r="M282" i="1"/>
  <c r="M280" i="1" s="1"/>
  <c r="L282" i="1"/>
  <c r="L280" i="1" s="1"/>
  <c r="P281" i="1"/>
  <c r="O281" i="1"/>
  <c r="O278" i="1"/>
  <c r="N278" i="1"/>
  <c r="M278" i="1"/>
  <c r="L278" i="1"/>
  <c r="J271" i="1"/>
  <c r="J260" i="1" s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N264" i="1" s="1"/>
  <c r="M266" i="1"/>
  <c r="M264" i="1" s="1"/>
  <c r="L266" i="1"/>
  <c r="P265" i="1"/>
  <c r="O265" i="1"/>
  <c r="N262" i="1"/>
  <c r="M262" i="1"/>
  <c r="L262" i="1"/>
  <c r="O262" i="1" s="1"/>
  <c r="J258" i="1"/>
  <c r="I258" i="1"/>
  <c r="K258" i="1" s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L189" i="1"/>
  <c r="L187" i="1" s="1"/>
  <c r="O187" i="1" s="1"/>
  <c r="P188" i="1"/>
  <c r="O188" i="1"/>
  <c r="N186" i="1"/>
  <c r="N184" i="1" s="1"/>
  <c r="M186" i="1"/>
  <c r="M184" i="1" s="1"/>
  <c r="L186" i="1"/>
  <c r="L184" i="1" s="1"/>
  <c r="P185" i="1"/>
  <c r="O185" i="1"/>
  <c r="O182" i="1"/>
  <c r="N182" i="1"/>
  <c r="M182" i="1"/>
  <c r="P182" i="1" s="1"/>
  <c r="L182" i="1"/>
  <c r="J177" i="1"/>
  <c r="J176" i="1"/>
  <c r="J174" i="1" s="1"/>
  <c r="I176" i="1"/>
  <c r="N173" i="1"/>
  <c r="N171" i="1" s="1"/>
  <c r="M173" i="1"/>
  <c r="M171" i="1" s="1"/>
  <c r="P171" i="1" s="1"/>
  <c r="L173" i="1"/>
  <c r="O173" i="1" s="1"/>
  <c r="P172" i="1"/>
  <c r="O172" i="1"/>
  <c r="N170" i="1"/>
  <c r="N168" i="1" s="1"/>
  <c r="M170" i="1"/>
  <c r="L170" i="1"/>
  <c r="P169" i="1"/>
  <c r="O169" i="1"/>
  <c r="P166" i="1"/>
  <c r="O166" i="1"/>
  <c r="N166" i="1"/>
  <c r="M166" i="1"/>
  <c r="L166" i="1"/>
  <c r="J159" i="1"/>
  <c r="I159" i="1"/>
  <c r="I148" i="1" s="1"/>
  <c r="N157" i="1"/>
  <c r="N155" i="1" s="1"/>
  <c r="M157" i="1"/>
  <c r="L157" i="1"/>
  <c r="O157" i="1" s="1"/>
  <c r="P156" i="1"/>
  <c r="O156" i="1"/>
  <c r="N154" i="1"/>
  <c r="N152" i="1" s="1"/>
  <c r="M154" i="1"/>
  <c r="M152" i="1" s="1"/>
  <c r="L154" i="1"/>
  <c r="P153" i="1"/>
  <c r="O153" i="1"/>
  <c r="P150" i="1"/>
  <c r="N150" i="1"/>
  <c r="M150" i="1"/>
  <c r="L150" i="1"/>
  <c r="O150" i="1" s="1"/>
  <c r="J146" i="1"/>
  <c r="J130" i="1" s="1"/>
  <c r="I146" i="1"/>
  <c r="I130" i="1" s="1"/>
  <c r="J145" i="1"/>
  <c r="I145" i="1"/>
  <c r="I143" i="1" s="1"/>
  <c r="I131" i="1" s="1"/>
  <c r="J144" i="1"/>
  <c r="I144" i="1"/>
  <c r="J142" i="1"/>
  <c r="N140" i="1"/>
  <c r="M140" i="1"/>
  <c r="M138" i="1" s="1"/>
  <c r="L140" i="1"/>
  <c r="L138" i="1" s="1"/>
  <c r="P139" i="1"/>
  <c r="O139" i="1"/>
  <c r="N137" i="1"/>
  <c r="N135" i="1" s="1"/>
  <c r="M137" i="1"/>
  <c r="L137" i="1"/>
  <c r="L135" i="1" s="1"/>
  <c r="P136" i="1"/>
  <c r="O136" i="1"/>
  <c r="N133" i="1"/>
  <c r="M133" i="1"/>
  <c r="P133" i="1" s="1"/>
  <c r="L133" i="1"/>
  <c r="O133" i="1" s="1"/>
  <c r="N127" i="1"/>
  <c r="N125" i="1" s="1"/>
  <c r="M127" i="1"/>
  <c r="L127" i="1"/>
  <c r="L125" i="1" s="1"/>
  <c r="P126" i="1"/>
  <c r="O126" i="1"/>
  <c r="N124" i="1"/>
  <c r="N122" i="1" s="1"/>
  <c r="M124" i="1"/>
  <c r="L124" i="1"/>
  <c r="O124" i="1" s="1"/>
  <c r="P123" i="1"/>
  <c r="O123" i="1"/>
  <c r="P120" i="1"/>
  <c r="O120" i="1"/>
  <c r="N120" i="1"/>
  <c r="M120" i="1"/>
  <c r="L120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N91" i="1" s="1"/>
  <c r="M93" i="1"/>
  <c r="M91" i="1" s="1"/>
  <c r="L93" i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L71" i="1"/>
  <c r="L69" i="1" s="1"/>
  <c r="P70" i="1"/>
  <c r="O70" i="1"/>
  <c r="P67" i="1"/>
  <c r="O67" i="1"/>
  <c r="N67" i="1"/>
  <c r="M67" i="1"/>
  <c r="L67" i="1"/>
  <c r="N61" i="1"/>
  <c r="M61" i="1"/>
  <c r="L61" i="1"/>
  <c r="L59" i="1" s="1"/>
  <c r="P60" i="1"/>
  <c r="O60" i="1"/>
  <c r="N58" i="1"/>
  <c r="N56" i="1" s="1"/>
  <c r="M58" i="1"/>
  <c r="M56" i="1" s="1"/>
  <c r="L58" i="1"/>
  <c r="P57" i="1"/>
  <c r="O57" i="1"/>
  <c r="N54" i="1"/>
  <c r="M54" i="1"/>
  <c r="P54" i="1" s="1"/>
  <c r="L54" i="1"/>
  <c r="O54" i="1" s="1"/>
  <c r="N49" i="1"/>
  <c r="M49" i="1"/>
  <c r="L49" i="1"/>
  <c r="L47" i="1" s="1"/>
  <c r="O47" i="1" s="1"/>
  <c r="P48" i="1"/>
  <c r="O48" i="1"/>
  <c r="N46" i="1"/>
  <c r="M46" i="1"/>
  <c r="L46" i="1"/>
  <c r="L44" i="1" s="1"/>
  <c r="P45" i="1"/>
  <c r="O45" i="1"/>
  <c r="P42" i="1"/>
  <c r="O42" i="1"/>
  <c r="N42" i="1"/>
  <c r="M42" i="1"/>
  <c r="L42" i="1"/>
  <c r="N36" i="1"/>
  <c r="N34" i="1" s="1"/>
  <c r="M36" i="1"/>
  <c r="P36" i="1" s="1"/>
  <c r="N35" i="1"/>
  <c r="M35" i="1"/>
  <c r="P35" i="1" s="1"/>
  <c r="L35" i="1"/>
  <c r="O35" i="1" s="1"/>
  <c r="P33" i="1"/>
  <c r="M33" i="1"/>
  <c r="M31" i="1" s="1"/>
  <c r="P31" i="1" s="1"/>
  <c r="O32" i="1"/>
  <c r="N32" i="1"/>
  <c r="N29" i="1" s="1"/>
  <c r="M32" i="1"/>
  <c r="L32" i="1"/>
  <c r="M30" i="1"/>
  <c r="P30" i="1" s="1"/>
  <c r="M29" i="1"/>
  <c r="P29" i="1" s="1"/>
  <c r="L29" i="1"/>
  <c r="O29" i="1" s="1"/>
  <c r="P25" i="1"/>
  <c r="O25" i="1"/>
  <c r="N25" i="1"/>
  <c r="N15" i="1" s="1"/>
  <c r="M25" i="1"/>
  <c r="L25" i="1"/>
  <c r="N22" i="1"/>
  <c r="M22" i="1"/>
  <c r="P22" i="1" s="1"/>
  <c r="L22" i="1"/>
  <c r="O22" i="1" s="1"/>
  <c r="N19" i="1"/>
  <c r="M15" i="1"/>
  <c r="P15" i="1" s="1"/>
  <c r="L15" i="1"/>
  <c r="O15" i="1" s="1"/>
  <c r="N12" i="1"/>
  <c r="J226" i="15" l="1"/>
  <c r="J180" i="15" s="1"/>
  <c r="M19" i="15"/>
  <c r="P19" i="15" s="1"/>
  <c r="N19" i="15"/>
  <c r="M12" i="15"/>
  <c r="P12" i="15" s="1"/>
  <c r="I442" i="10"/>
  <c r="K442" i="10" s="1"/>
  <c r="L477" i="10"/>
  <c r="O477" i="10" s="1"/>
  <c r="L632" i="15"/>
  <c r="O632" i="15" s="1"/>
  <c r="J226" i="14"/>
  <c r="J180" i="14" s="1"/>
  <c r="N227" i="14"/>
  <c r="J226" i="13"/>
  <c r="J180" i="13" s="1"/>
  <c r="N227" i="13"/>
  <c r="J226" i="12"/>
  <c r="J180" i="12" s="1"/>
  <c r="L658" i="11"/>
  <c r="O658" i="11" s="1"/>
  <c r="N227" i="12"/>
  <c r="J226" i="11"/>
  <c r="J180" i="11" s="1"/>
  <c r="N227" i="11"/>
  <c r="L555" i="10"/>
  <c r="O555" i="10" s="1"/>
  <c r="J226" i="10"/>
  <c r="J180" i="10" s="1"/>
  <c r="N227" i="10"/>
  <c r="L658" i="8"/>
  <c r="O658" i="8" s="1"/>
  <c r="J226" i="9"/>
  <c r="J180" i="9" s="1"/>
  <c r="L555" i="8"/>
  <c r="O555" i="8" s="1"/>
  <c r="K248" i="8"/>
  <c r="J226" i="7"/>
  <c r="J180" i="7" s="1"/>
  <c r="L555" i="11"/>
  <c r="O555" i="11" s="1"/>
  <c r="L447" i="8"/>
  <c r="O447" i="8" s="1"/>
  <c r="K236" i="5"/>
  <c r="L632" i="7"/>
  <c r="O632" i="7" s="1"/>
  <c r="N227" i="4"/>
  <c r="J226" i="4"/>
  <c r="J180" i="4" s="1"/>
  <c r="I654" i="14"/>
  <c r="K654" i="14" s="1"/>
  <c r="L658" i="10"/>
  <c r="O658" i="10" s="1"/>
  <c r="N227" i="3"/>
  <c r="J226" i="3"/>
  <c r="J180" i="3" s="1"/>
  <c r="L555" i="5"/>
  <c r="O555" i="5" s="1"/>
  <c r="J226" i="2"/>
  <c r="J180" i="2" s="1"/>
  <c r="L447" i="9"/>
  <c r="O447" i="9" s="1"/>
  <c r="I522" i="14"/>
  <c r="K522" i="14" s="1"/>
  <c r="L533" i="5"/>
  <c r="O533" i="5" s="1"/>
  <c r="L555" i="15"/>
  <c r="O555" i="15" s="1"/>
  <c r="N347" i="13"/>
  <c r="N345" i="13" s="1"/>
  <c r="L632" i="9"/>
  <c r="O632" i="9" s="1"/>
  <c r="L283" i="15"/>
  <c r="O283" i="15" s="1"/>
  <c r="L422" i="8"/>
  <c r="O422" i="8" s="1"/>
  <c r="L477" i="8"/>
  <c r="O477" i="8" s="1"/>
  <c r="K822" i="15"/>
  <c r="K825" i="15"/>
  <c r="K828" i="15"/>
  <c r="N134" i="15"/>
  <c r="N132" i="15" s="1"/>
  <c r="M317" i="13"/>
  <c r="M315" i="13" s="1"/>
  <c r="L347" i="13"/>
  <c r="O46" i="13"/>
  <c r="O348" i="15"/>
  <c r="L36" i="15"/>
  <c r="O36" i="15" s="1"/>
  <c r="N68" i="15"/>
  <c r="N66" i="15" s="1"/>
  <c r="I364" i="15"/>
  <c r="L533" i="10"/>
  <c r="O533" i="10" s="1"/>
  <c r="I314" i="15"/>
  <c r="K314" i="15" s="1"/>
  <c r="M279" i="15"/>
  <c r="M277" i="15" s="1"/>
  <c r="L317" i="15"/>
  <c r="L315" i="15" s="1"/>
  <c r="K338" i="15"/>
  <c r="N404" i="15"/>
  <c r="N402" i="15" s="1"/>
  <c r="L421" i="15"/>
  <c r="L419" i="15" s="1"/>
  <c r="L317" i="13"/>
  <c r="L315" i="13" s="1"/>
  <c r="L405" i="15"/>
  <c r="O405" i="15" s="1"/>
  <c r="L525" i="15"/>
  <c r="L523" i="15" s="1"/>
  <c r="O523" i="15" s="1"/>
  <c r="M122" i="15"/>
  <c r="P122" i="15" s="1"/>
  <c r="L228" i="15"/>
  <c r="N90" i="15"/>
  <c r="N88" i="15" s="1"/>
  <c r="L171" i="15"/>
  <c r="O171" i="15" s="1"/>
  <c r="L304" i="15"/>
  <c r="O304" i="15" s="1"/>
  <c r="O690" i="15"/>
  <c r="L477" i="6"/>
  <c r="O477" i="6" s="1"/>
  <c r="L330" i="14"/>
  <c r="L328" i="14" s="1"/>
  <c r="K111" i="15"/>
  <c r="M267" i="15"/>
  <c r="P267" i="15" s="1"/>
  <c r="K372" i="15"/>
  <c r="I559" i="15"/>
  <c r="K559" i="15" s="1"/>
  <c r="I522" i="9"/>
  <c r="K522" i="9" s="1"/>
  <c r="N121" i="15"/>
  <c r="N119" i="15" s="1"/>
  <c r="N167" i="15"/>
  <c r="N165" i="15" s="1"/>
  <c r="L263" i="15"/>
  <c r="L261" i="15" s="1"/>
  <c r="N330" i="15"/>
  <c r="N328" i="15" s="1"/>
  <c r="L422" i="15"/>
  <c r="O422" i="15" s="1"/>
  <c r="M94" i="15"/>
  <c r="P94" i="15" s="1"/>
  <c r="M125" i="15"/>
  <c r="P125" i="15" s="1"/>
  <c r="M155" i="15"/>
  <c r="P155" i="15" s="1"/>
  <c r="L230" i="15"/>
  <c r="O61" i="15"/>
  <c r="P323" i="15"/>
  <c r="I76" i="15"/>
  <c r="I64" i="15" s="1"/>
  <c r="K64" i="15" s="1"/>
  <c r="M121" i="15"/>
  <c r="P121" i="15" s="1"/>
  <c r="O93" i="15"/>
  <c r="M304" i="15"/>
  <c r="P304" i="15" s="1"/>
  <c r="N300" i="15"/>
  <c r="N298" i="15" s="1"/>
  <c r="I276" i="14"/>
  <c r="K276" i="14" s="1"/>
  <c r="N55" i="10"/>
  <c r="N53" i="10" s="1"/>
  <c r="I785" i="12"/>
  <c r="K785" i="12" s="1"/>
  <c r="L228" i="14"/>
  <c r="N55" i="15"/>
  <c r="N53" i="15" s="1"/>
  <c r="P154" i="15"/>
  <c r="P186" i="15"/>
  <c r="I260" i="15"/>
  <c r="K260" i="15" s="1"/>
  <c r="O320" i="15"/>
  <c r="O266" i="13"/>
  <c r="P266" i="15"/>
  <c r="M300" i="15"/>
  <c r="I364" i="13"/>
  <c r="N43" i="15"/>
  <c r="N41" i="15" s="1"/>
  <c r="L209" i="15"/>
  <c r="O209" i="15" s="1"/>
  <c r="M330" i="15"/>
  <c r="M328" i="15" s="1"/>
  <c r="K370" i="15"/>
  <c r="M55" i="15"/>
  <c r="M53" i="15" s="1"/>
  <c r="M90" i="15"/>
  <c r="M88" i="15" s="1"/>
  <c r="L198" i="15"/>
  <c r="O198" i="15" s="1"/>
  <c r="L279" i="15"/>
  <c r="L277" i="15" s="1"/>
  <c r="K365" i="15"/>
  <c r="L392" i="15"/>
  <c r="O392" i="15" s="1"/>
  <c r="I174" i="15"/>
  <c r="K174" i="15" s="1"/>
  <c r="M347" i="15"/>
  <c r="M345" i="15" s="1"/>
  <c r="J364" i="15"/>
  <c r="L228" i="12"/>
  <c r="I443" i="12"/>
  <c r="K443" i="12" s="1"/>
  <c r="N121" i="14"/>
  <c r="N119" i="14" s="1"/>
  <c r="N317" i="14"/>
  <c r="N315" i="14" s="1"/>
  <c r="L43" i="15"/>
  <c r="L41" i="15" s="1"/>
  <c r="O140" i="15"/>
  <c r="K159" i="15"/>
  <c r="O186" i="15"/>
  <c r="L330" i="15"/>
  <c r="K379" i="15"/>
  <c r="N391" i="13"/>
  <c r="N389" i="13" s="1"/>
  <c r="M321" i="14"/>
  <c r="P321" i="14" s="1"/>
  <c r="L331" i="14"/>
  <c r="L334" i="14"/>
  <c r="O334" i="14" s="1"/>
  <c r="M90" i="14"/>
  <c r="M88" i="14" s="1"/>
  <c r="N125" i="15"/>
  <c r="M183" i="15"/>
  <c r="M181" i="15" s="1"/>
  <c r="N331" i="15"/>
  <c r="O331" i="15" s="1"/>
  <c r="L334" i="15"/>
  <c r="O334" i="15" s="1"/>
  <c r="K385" i="15"/>
  <c r="P56" i="12"/>
  <c r="M264" i="14"/>
  <c r="P264" i="14" s="1"/>
  <c r="I87" i="15"/>
  <c r="K87" i="15" s="1"/>
  <c r="I130" i="15"/>
  <c r="K130" i="15" s="1"/>
  <c r="M184" i="15"/>
  <c r="P184" i="15" s="1"/>
  <c r="M187" i="15"/>
  <c r="P187" i="15" s="1"/>
  <c r="I197" i="15"/>
  <c r="K197" i="15" s="1"/>
  <c r="L231" i="15"/>
  <c r="M279" i="12"/>
  <c r="P279" i="12" s="1"/>
  <c r="M55" i="14"/>
  <c r="M53" i="14" s="1"/>
  <c r="N321" i="14"/>
  <c r="K362" i="14"/>
  <c r="P93" i="15"/>
  <c r="M171" i="15"/>
  <c r="P171" i="15" s="1"/>
  <c r="L249" i="15"/>
  <c r="O249" i="15" s="1"/>
  <c r="M301" i="15"/>
  <c r="P301" i="15" s="1"/>
  <c r="O303" i="15"/>
  <c r="L395" i="15"/>
  <c r="O395" i="15" s="1"/>
  <c r="N405" i="15"/>
  <c r="I442" i="15"/>
  <c r="K442" i="15" s="1"/>
  <c r="L454" i="15"/>
  <c r="O454" i="15" s="1"/>
  <c r="K669" i="15"/>
  <c r="K800" i="15"/>
  <c r="L94" i="15"/>
  <c r="O94" i="15" s="1"/>
  <c r="L134" i="15"/>
  <c r="M151" i="15"/>
  <c r="M149" i="15" s="1"/>
  <c r="P320" i="15"/>
  <c r="M395" i="15"/>
  <c r="P395" i="15" s="1"/>
  <c r="O479" i="15"/>
  <c r="O549" i="15"/>
  <c r="I628" i="15"/>
  <c r="K628" i="15" s="1"/>
  <c r="L392" i="13"/>
  <c r="O392" i="13" s="1"/>
  <c r="L36" i="13"/>
  <c r="O36" i="13" s="1"/>
  <c r="M301" i="14"/>
  <c r="P301" i="14" s="1"/>
  <c r="M391" i="14"/>
  <c r="P391" i="14" s="1"/>
  <c r="L395" i="14"/>
  <c r="O395" i="14" s="1"/>
  <c r="P397" i="14"/>
  <c r="L33" i="15"/>
  <c r="M68" i="15"/>
  <c r="M66" i="15" s="1"/>
  <c r="L72" i="15"/>
  <c r="O72" i="15" s="1"/>
  <c r="M152" i="15"/>
  <c r="P152" i="15" s="1"/>
  <c r="N347" i="15"/>
  <c r="N345" i="15" s="1"/>
  <c r="I443" i="15"/>
  <c r="K443" i="15" s="1"/>
  <c r="I260" i="13"/>
  <c r="K260" i="13" s="1"/>
  <c r="I174" i="14"/>
  <c r="K174" i="14" s="1"/>
  <c r="I785" i="14"/>
  <c r="K785" i="14" s="1"/>
  <c r="O46" i="15"/>
  <c r="P49" i="15"/>
  <c r="O56" i="15"/>
  <c r="N135" i="15"/>
  <c r="P135" i="15" s="1"/>
  <c r="P170" i="15"/>
  <c r="N263" i="15"/>
  <c r="N261" i="15" s="1"/>
  <c r="O351" i="15"/>
  <c r="P353" i="15"/>
  <c r="L404" i="15"/>
  <c r="O404" i="15" s="1"/>
  <c r="L446" i="15"/>
  <c r="L444" i="15" s="1"/>
  <c r="L687" i="15"/>
  <c r="O687" i="15" s="1"/>
  <c r="K628" i="13"/>
  <c r="I364" i="14"/>
  <c r="L217" i="15"/>
  <c r="O217" i="15" s="1"/>
  <c r="K297" i="15"/>
  <c r="P351" i="15"/>
  <c r="K360" i="15"/>
  <c r="K381" i="15"/>
  <c r="L391" i="15"/>
  <c r="O391" i="15" s="1"/>
  <c r="L55" i="11"/>
  <c r="L53" i="11" s="1"/>
  <c r="L47" i="15"/>
  <c r="O47" i="15" s="1"/>
  <c r="O58" i="15"/>
  <c r="L68" i="15"/>
  <c r="L66" i="15" s="1"/>
  <c r="P74" i="15"/>
  <c r="L90" i="15"/>
  <c r="M167" i="15"/>
  <c r="L23" i="15"/>
  <c r="M263" i="15"/>
  <c r="P263" i="15" s="1"/>
  <c r="K359" i="15"/>
  <c r="K378" i="15"/>
  <c r="L447" i="15"/>
  <c r="O447" i="15" s="1"/>
  <c r="L546" i="15"/>
  <c r="L657" i="15"/>
  <c r="O657" i="15" s="1"/>
  <c r="J722" i="15"/>
  <c r="K823" i="15"/>
  <c r="K826" i="15"/>
  <c r="K385" i="14"/>
  <c r="P303" i="15"/>
  <c r="L321" i="15"/>
  <c r="O321" i="15" s="1"/>
  <c r="O323" i="15"/>
  <c r="O410" i="15"/>
  <c r="L469" i="15"/>
  <c r="L467" i="15" s="1"/>
  <c r="O467" i="15" s="1"/>
  <c r="K647" i="13"/>
  <c r="M43" i="15"/>
  <c r="O137" i="15"/>
  <c r="K148" i="15"/>
  <c r="K224" i="15"/>
  <c r="I233" i="15"/>
  <c r="K233" i="15" s="1"/>
  <c r="L300" i="15"/>
  <c r="K355" i="15"/>
  <c r="N391" i="15"/>
  <c r="N389" i="15" s="1"/>
  <c r="K673" i="15"/>
  <c r="J721" i="15"/>
  <c r="K821" i="15"/>
  <c r="K824" i="15"/>
  <c r="K827" i="15"/>
  <c r="L59" i="15"/>
  <c r="O59" i="15" s="1"/>
  <c r="O71" i="15"/>
  <c r="L91" i="15"/>
  <c r="P137" i="15"/>
  <c r="J143" i="15"/>
  <c r="J131" i="15" s="1"/>
  <c r="N151" i="15"/>
  <c r="N149" i="15" s="1"/>
  <c r="M168" i="15"/>
  <c r="P168" i="15" s="1"/>
  <c r="K309" i="15"/>
  <c r="K369" i="15"/>
  <c r="J537" i="15"/>
  <c r="J522" i="15" s="1"/>
  <c r="K522" i="15" s="1"/>
  <c r="O46" i="14"/>
  <c r="K379" i="14"/>
  <c r="L533" i="14"/>
  <c r="O533" i="14" s="1"/>
  <c r="P71" i="15"/>
  <c r="I77" i="15"/>
  <c r="L138" i="15"/>
  <c r="O138" i="15" s="1"/>
  <c r="K145" i="15"/>
  <c r="O318" i="15"/>
  <c r="L69" i="14"/>
  <c r="O69" i="14" s="1"/>
  <c r="M122" i="14"/>
  <c r="P122" i="14" s="1"/>
  <c r="P46" i="15"/>
  <c r="L55" i="15"/>
  <c r="I248" i="15"/>
  <c r="K248" i="15" s="1"/>
  <c r="O449" i="15"/>
  <c r="I654" i="15"/>
  <c r="K654" i="15" s="1"/>
  <c r="L300" i="12"/>
  <c r="O300" i="12" s="1"/>
  <c r="N151" i="14"/>
  <c r="N149" i="14" s="1"/>
  <c r="L183" i="14"/>
  <c r="L181" i="14" s="1"/>
  <c r="L230" i="14"/>
  <c r="K115" i="15"/>
  <c r="I112" i="15"/>
  <c r="K112" i="15" s="1"/>
  <c r="K287" i="15"/>
  <c r="I276" i="15"/>
  <c r="K276" i="15" s="1"/>
  <c r="L209" i="13"/>
  <c r="O209" i="13" s="1"/>
  <c r="I559" i="13"/>
  <c r="I543" i="13" s="1"/>
  <c r="K543" i="13" s="1"/>
  <c r="K649" i="13"/>
  <c r="J722" i="13"/>
  <c r="L231" i="14"/>
  <c r="O660" i="14"/>
  <c r="L657" i="14"/>
  <c r="L655" i="14" s="1"/>
  <c r="O655" i="14" s="1"/>
  <c r="N26" i="15"/>
  <c r="N16" i="15" s="1"/>
  <c r="N183" i="15"/>
  <c r="I190" i="15"/>
  <c r="K190" i="15" s="1"/>
  <c r="K193" i="15"/>
  <c r="L267" i="15"/>
  <c r="O267" i="15" s="1"/>
  <c r="O269" i="15"/>
  <c r="P299" i="15"/>
  <c r="L632" i="10"/>
  <c r="O632" i="10" s="1"/>
  <c r="N15" i="15"/>
  <c r="N9" i="15" s="1"/>
  <c r="O323" i="14"/>
  <c r="O120" i="15"/>
  <c r="O170" i="15"/>
  <c r="L167" i="15"/>
  <c r="L168" i="15"/>
  <c r="O168" i="15" s="1"/>
  <c r="O353" i="15"/>
  <c r="L347" i="15"/>
  <c r="L345" i="15" s="1"/>
  <c r="I86" i="13"/>
  <c r="K86" i="13" s="1"/>
  <c r="K823" i="13"/>
  <c r="L43" i="14"/>
  <c r="L41" i="14" s="1"/>
  <c r="N68" i="14"/>
  <c r="N66" i="14" s="1"/>
  <c r="O93" i="14"/>
  <c r="N279" i="14"/>
  <c r="N277" i="14" s="1"/>
  <c r="L304" i="14"/>
  <c r="O304" i="14" s="1"/>
  <c r="I628" i="14"/>
  <c r="K628" i="14" s="1"/>
  <c r="N29" i="15"/>
  <c r="N28" i="15" s="1"/>
  <c r="N31" i="15"/>
  <c r="M56" i="15"/>
  <c r="P56" i="15" s="1"/>
  <c r="P58" i="15"/>
  <c r="M23" i="15"/>
  <c r="M138" i="15"/>
  <c r="P138" i="15" s="1"/>
  <c r="M134" i="15"/>
  <c r="P140" i="15"/>
  <c r="O150" i="15"/>
  <c r="P182" i="15"/>
  <c r="N280" i="15"/>
  <c r="O280" i="15" s="1"/>
  <c r="N279" i="15"/>
  <c r="N277" i="15" s="1"/>
  <c r="O282" i="15"/>
  <c r="P186" i="14"/>
  <c r="O54" i="15"/>
  <c r="M59" i="15"/>
  <c r="P59" i="15" s="1"/>
  <c r="M26" i="15"/>
  <c r="P61" i="15"/>
  <c r="I86" i="15"/>
  <c r="K86" i="15" s="1"/>
  <c r="K98" i="15"/>
  <c r="L229" i="15"/>
  <c r="L238" i="15"/>
  <c r="P120" i="15"/>
  <c r="L122" i="15"/>
  <c r="O122" i="15" s="1"/>
  <c r="O124" i="15"/>
  <c r="P150" i="15"/>
  <c r="L152" i="15"/>
  <c r="O152" i="15" s="1"/>
  <c r="O154" i="15"/>
  <c r="N317" i="15"/>
  <c r="N321" i="15"/>
  <c r="O755" i="15"/>
  <c r="L754" i="15"/>
  <c r="O754" i="15" s="1"/>
  <c r="L789" i="15"/>
  <c r="O789" i="15" s="1"/>
  <c r="O791" i="15"/>
  <c r="L788" i="15"/>
  <c r="O807" i="15"/>
  <c r="L805" i="15"/>
  <c r="O805" i="15" s="1"/>
  <c r="M404" i="14"/>
  <c r="P404" i="14" s="1"/>
  <c r="M15" i="15"/>
  <c r="M9" i="15" s="1"/>
  <c r="N23" i="15"/>
  <c r="M29" i="15"/>
  <c r="K81" i="15"/>
  <c r="N91" i="15"/>
  <c r="P166" i="15"/>
  <c r="L184" i="15"/>
  <c r="O184" i="15" s="1"/>
  <c r="N227" i="15"/>
  <c r="J288" i="15"/>
  <c r="J275" i="15" s="1"/>
  <c r="K275" i="15" s="1"/>
  <c r="P333" i="15"/>
  <c r="M331" i="15"/>
  <c r="J327" i="15"/>
  <c r="K327" i="15" s="1"/>
  <c r="P772" i="15"/>
  <c r="M770" i="15"/>
  <c r="P770" i="15" s="1"/>
  <c r="K823" i="14"/>
  <c r="L26" i="15"/>
  <c r="L24" i="15" s="1"/>
  <c r="M34" i="15"/>
  <c r="P34" i="15" s="1"/>
  <c r="N44" i="15"/>
  <c r="P44" i="15" s="1"/>
  <c r="N47" i="15"/>
  <c r="N69" i="15"/>
  <c r="P69" i="15" s="1"/>
  <c r="K244" i="15"/>
  <c r="I237" i="15"/>
  <c r="P262" i="15"/>
  <c r="L264" i="15"/>
  <c r="O264" i="15" s="1"/>
  <c r="O266" i="15"/>
  <c r="M283" i="15"/>
  <c r="P283" i="15" s="1"/>
  <c r="P285" i="15"/>
  <c r="M318" i="15"/>
  <c r="P318" i="15" s="1"/>
  <c r="M317" i="15"/>
  <c r="O390" i="15"/>
  <c r="P394" i="15"/>
  <c r="M391" i="15"/>
  <c r="K438" i="15"/>
  <c r="I434" i="15"/>
  <c r="L12" i="15"/>
  <c r="L19" i="15"/>
  <c r="L121" i="15"/>
  <c r="O121" i="15" s="1"/>
  <c r="L125" i="15"/>
  <c r="O125" i="15" s="1"/>
  <c r="O127" i="15"/>
  <c r="L151" i="15"/>
  <c r="L155" i="15"/>
  <c r="O155" i="15" s="1"/>
  <c r="O157" i="15"/>
  <c r="L183" i="15"/>
  <c r="P329" i="15"/>
  <c r="P350" i="15"/>
  <c r="M348" i="15"/>
  <c r="P348" i="15" s="1"/>
  <c r="P419" i="15"/>
  <c r="N470" i="15"/>
  <c r="O470" i="15" s="1"/>
  <c r="O472" i="15"/>
  <c r="N469" i="15"/>
  <c r="N467" i="15" s="1"/>
  <c r="P545" i="15"/>
  <c r="M544" i="15"/>
  <c r="P544" i="15" s="1"/>
  <c r="K821" i="14"/>
  <c r="K824" i="14"/>
  <c r="K827" i="14"/>
  <c r="I131" i="15"/>
  <c r="L187" i="15"/>
  <c r="O187" i="15" s="1"/>
  <c r="I208" i="15"/>
  <c r="K208" i="15" s="1"/>
  <c r="M280" i="15"/>
  <c r="P282" i="15"/>
  <c r="P346" i="15"/>
  <c r="M405" i="15"/>
  <c r="P405" i="15" s="1"/>
  <c r="P407" i="15"/>
  <c r="M404" i="15"/>
  <c r="O333" i="15"/>
  <c r="O350" i="15"/>
  <c r="K362" i="15"/>
  <c r="K374" i="15"/>
  <c r="P410" i="15"/>
  <c r="K466" i="15"/>
  <c r="O771" i="15"/>
  <c r="L770" i="15"/>
  <c r="O770" i="15" s="1"/>
  <c r="K592" i="15"/>
  <c r="P739" i="15"/>
  <c r="M737" i="15"/>
  <c r="P737" i="15" s="1"/>
  <c r="N807" i="15"/>
  <c r="N808" i="15"/>
  <c r="O301" i="15"/>
  <c r="M334" i="15"/>
  <c r="P334" i="15" s="1"/>
  <c r="O420" i="15"/>
  <c r="K435" i="15"/>
  <c r="J433" i="15"/>
  <c r="N446" i="15"/>
  <c r="N444" i="15" s="1"/>
  <c r="L502" i="15"/>
  <c r="O502" i="15" s="1"/>
  <c r="L526" i="15"/>
  <c r="O526" i="15" s="1"/>
  <c r="O528" i="15"/>
  <c r="K594" i="15"/>
  <c r="O738" i="15"/>
  <c r="L737" i="15"/>
  <c r="O737" i="15" s="1"/>
  <c r="K340" i="15"/>
  <c r="O424" i="15"/>
  <c r="M467" i="15"/>
  <c r="P467" i="15" s="1"/>
  <c r="M502" i="15"/>
  <c r="P502" i="15" s="1"/>
  <c r="K577" i="15"/>
  <c r="L639" i="15"/>
  <c r="O639" i="15" s="1"/>
  <c r="O641" i="15"/>
  <c r="L631" i="15"/>
  <c r="O631" i="15" s="1"/>
  <c r="P756" i="15"/>
  <c r="M754" i="15"/>
  <c r="P754" i="15" s="1"/>
  <c r="N805" i="15"/>
  <c r="P503" i="15"/>
  <c r="O656" i="15"/>
  <c r="K674" i="15"/>
  <c r="K675" i="15"/>
  <c r="K593" i="15"/>
  <c r="M629" i="15"/>
  <c r="P629" i="15" s="1"/>
  <c r="N134" i="13"/>
  <c r="N132" i="13" s="1"/>
  <c r="J143" i="13"/>
  <c r="J131" i="13" s="1"/>
  <c r="J721" i="13"/>
  <c r="N44" i="14"/>
  <c r="O44" i="14" s="1"/>
  <c r="N43" i="14"/>
  <c r="N41" i="14" s="1"/>
  <c r="N55" i="14"/>
  <c r="N53" i="14" s="1"/>
  <c r="N134" i="14"/>
  <c r="N132" i="14" s="1"/>
  <c r="L134" i="14"/>
  <c r="O134" i="14" s="1"/>
  <c r="J143" i="14"/>
  <c r="J131" i="14" s="1"/>
  <c r="M152" i="14"/>
  <c r="P152" i="14" s="1"/>
  <c r="L167" i="14"/>
  <c r="L165" i="14" s="1"/>
  <c r="L171" i="14"/>
  <c r="O171" i="14" s="1"/>
  <c r="M184" i="14"/>
  <c r="P184" i="14" s="1"/>
  <c r="L422" i="14"/>
  <c r="O422" i="14" s="1"/>
  <c r="K460" i="14"/>
  <c r="J722" i="14"/>
  <c r="L555" i="7"/>
  <c r="O555" i="7" s="1"/>
  <c r="L230" i="13"/>
  <c r="I434" i="13"/>
  <c r="K434" i="13" s="1"/>
  <c r="L47" i="14"/>
  <c r="O47" i="14" s="1"/>
  <c r="P74" i="14"/>
  <c r="O137" i="14"/>
  <c r="M171" i="14"/>
  <c r="P171" i="14" s="1"/>
  <c r="L187" i="14"/>
  <c r="O187" i="14" s="1"/>
  <c r="L209" i="14"/>
  <c r="O209" i="14" s="1"/>
  <c r="N404" i="14"/>
  <c r="N402" i="14" s="1"/>
  <c r="O456" i="12"/>
  <c r="N404" i="13"/>
  <c r="N402" i="13" s="1"/>
  <c r="K674" i="13"/>
  <c r="M405" i="14"/>
  <c r="P405" i="14" s="1"/>
  <c r="O140" i="13"/>
  <c r="K146" i="13"/>
  <c r="O170" i="13"/>
  <c r="O140" i="14"/>
  <c r="L94" i="13"/>
  <c r="O94" i="13" s="1"/>
  <c r="M94" i="14"/>
  <c r="P94" i="14" s="1"/>
  <c r="P170" i="14"/>
  <c r="L198" i="14"/>
  <c r="O198" i="14" s="1"/>
  <c r="L217" i="14"/>
  <c r="O217" i="14" s="1"/>
  <c r="K193" i="14"/>
  <c r="I190" i="14"/>
  <c r="K190" i="14" s="1"/>
  <c r="P306" i="14"/>
  <c r="M300" i="14"/>
  <c r="P300" i="14" s="1"/>
  <c r="N347" i="11"/>
  <c r="N345" i="11" s="1"/>
  <c r="N90" i="12"/>
  <c r="N88" i="12" s="1"/>
  <c r="M279" i="13"/>
  <c r="P279" i="13" s="1"/>
  <c r="N300" i="13"/>
  <c r="N298" i="13" s="1"/>
  <c r="N330" i="13"/>
  <c r="N328" i="13" s="1"/>
  <c r="N47" i="14"/>
  <c r="N69" i="14"/>
  <c r="N122" i="14"/>
  <c r="N26" i="14"/>
  <c r="N16" i="14" s="1"/>
  <c r="N14" i="14" s="1"/>
  <c r="N125" i="14"/>
  <c r="N152" i="14"/>
  <c r="M183" i="14"/>
  <c r="M181" i="14" s="1"/>
  <c r="M187" i="14"/>
  <c r="P187" i="14" s="1"/>
  <c r="M304" i="14"/>
  <c r="P304" i="14" s="1"/>
  <c r="I314" i="14"/>
  <c r="K314" i="14" s="1"/>
  <c r="O353" i="14"/>
  <c r="L351" i="14"/>
  <c r="O351" i="14" s="1"/>
  <c r="K381" i="14"/>
  <c r="L526" i="14"/>
  <c r="O526" i="14" s="1"/>
  <c r="L525" i="14"/>
  <c r="O525" i="14" s="1"/>
  <c r="L546" i="14"/>
  <c r="P264" i="11"/>
  <c r="L43" i="12"/>
  <c r="M347" i="12"/>
  <c r="M345" i="12" s="1"/>
  <c r="M56" i="14"/>
  <c r="P56" i="14" s="1"/>
  <c r="I87" i="14"/>
  <c r="K87" i="14" s="1"/>
  <c r="M125" i="14"/>
  <c r="P125" i="14" s="1"/>
  <c r="P137" i="14"/>
  <c r="K159" i="14"/>
  <c r="O170" i="14"/>
  <c r="L168" i="14"/>
  <c r="O168" i="14" s="1"/>
  <c r="N183" i="14"/>
  <c r="N181" i="14" s="1"/>
  <c r="O186" i="14"/>
  <c r="L184" i="14"/>
  <c r="O184" i="14" s="1"/>
  <c r="K224" i="14"/>
  <c r="M267" i="14"/>
  <c r="P267" i="14" s="1"/>
  <c r="L280" i="14"/>
  <c r="O280" i="14" s="1"/>
  <c r="L283" i="14"/>
  <c r="O283" i="14" s="1"/>
  <c r="O320" i="14"/>
  <c r="M330" i="14"/>
  <c r="M328" i="14" s="1"/>
  <c r="J327" i="14"/>
  <c r="K327" i="14" s="1"/>
  <c r="K374" i="14"/>
  <c r="L391" i="14"/>
  <c r="L404" i="14"/>
  <c r="O449" i="14"/>
  <c r="L688" i="14"/>
  <c r="O688" i="14" s="1"/>
  <c r="O690" i="14"/>
  <c r="P266" i="13"/>
  <c r="P407" i="13"/>
  <c r="M59" i="14"/>
  <c r="P59" i="14" s="1"/>
  <c r="L68" i="14"/>
  <c r="O68" i="14" s="1"/>
  <c r="O74" i="14"/>
  <c r="P93" i="14"/>
  <c r="M91" i="14"/>
  <c r="P91" i="14" s="1"/>
  <c r="P336" i="14"/>
  <c r="L171" i="13"/>
  <c r="O171" i="13" s="1"/>
  <c r="L300" i="13"/>
  <c r="L298" i="13" s="1"/>
  <c r="L33" i="14"/>
  <c r="L31" i="14" s="1"/>
  <c r="O31" i="14" s="1"/>
  <c r="N90" i="14"/>
  <c r="N88" i="14" s="1"/>
  <c r="K146" i="14"/>
  <c r="M167" i="14"/>
  <c r="M165" i="14" s="1"/>
  <c r="K204" i="14"/>
  <c r="K215" i="14"/>
  <c r="I208" i="14"/>
  <c r="K208" i="14" s="1"/>
  <c r="I260" i="14"/>
  <c r="K260" i="14" s="1"/>
  <c r="L263" i="14"/>
  <c r="L261" i="14" s="1"/>
  <c r="L279" i="14"/>
  <c r="O279" i="14" s="1"/>
  <c r="K338" i="14"/>
  <c r="L347" i="14"/>
  <c r="L345" i="14" s="1"/>
  <c r="L392" i="14"/>
  <c r="O392" i="14" s="1"/>
  <c r="P394" i="14"/>
  <c r="O407" i="14"/>
  <c r="K576" i="14"/>
  <c r="I559" i="14"/>
  <c r="K559" i="14" s="1"/>
  <c r="O634" i="14"/>
  <c r="L632" i="14"/>
  <c r="O632" i="14" s="1"/>
  <c r="O549" i="11"/>
  <c r="K360" i="13"/>
  <c r="J364" i="13"/>
  <c r="L94" i="14"/>
  <c r="O94" i="14" s="1"/>
  <c r="M121" i="14"/>
  <c r="P121" i="14" s="1"/>
  <c r="M168" i="14"/>
  <c r="P168" i="14" s="1"/>
  <c r="L238" i="14"/>
  <c r="O238" i="14" s="1"/>
  <c r="N263" i="14"/>
  <c r="N261" i="14" s="1"/>
  <c r="M263" i="14"/>
  <c r="P263" i="14" s="1"/>
  <c r="M279" i="14"/>
  <c r="P279" i="14" s="1"/>
  <c r="M347" i="14"/>
  <c r="M345" i="14" s="1"/>
  <c r="K378" i="14"/>
  <c r="M408" i="14"/>
  <c r="P408" i="14" s="1"/>
  <c r="P410" i="14"/>
  <c r="J721" i="14"/>
  <c r="L229" i="14"/>
  <c r="O266" i="14"/>
  <c r="K340" i="14"/>
  <c r="K672" i="14"/>
  <c r="K673" i="14"/>
  <c r="K669" i="14"/>
  <c r="K675" i="14"/>
  <c r="K822" i="14"/>
  <c r="K828" i="14"/>
  <c r="M15" i="14"/>
  <c r="P25" i="14"/>
  <c r="O788" i="14"/>
  <c r="L786" i="14"/>
  <c r="O786" i="14" s="1"/>
  <c r="K224" i="9"/>
  <c r="L547" i="9"/>
  <c r="O547" i="9" s="1"/>
  <c r="M134" i="12"/>
  <c r="P134" i="12" s="1"/>
  <c r="N68" i="13"/>
  <c r="N66" i="13" s="1"/>
  <c r="M171" i="13"/>
  <c r="P171" i="13" s="1"/>
  <c r="L279" i="13"/>
  <c r="O410" i="13"/>
  <c r="L408" i="13"/>
  <c r="O408" i="13" s="1"/>
  <c r="K828" i="13"/>
  <c r="M44" i="14"/>
  <c r="P46" i="14"/>
  <c r="M23" i="14"/>
  <c r="M21" i="14" s="1"/>
  <c r="M43" i="14"/>
  <c r="M69" i="14"/>
  <c r="P69" i="14" s="1"/>
  <c r="P71" i="14"/>
  <c r="M68" i="14"/>
  <c r="M155" i="14"/>
  <c r="P155" i="14" s="1"/>
  <c r="O431" i="14"/>
  <c r="L421" i="14"/>
  <c r="L36" i="14"/>
  <c r="O36" i="14" s="1"/>
  <c r="N26" i="13"/>
  <c r="N16" i="13" s="1"/>
  <c r="N14" i="13" s="1"/>
  <c r="O154" i="13"/>
  <c r="P184" i="13"/>
  <c r="L229" i="13"/>
  <c r="L263" i="13"/>
  <c r="L261" i="13" s="1"/>
  <c r="L280" i="13"/>
  <c r="O280" i="13" s="1"/>
  <c r="L283" i="13"/>
  <c r="O283" i="13" s="1"/>
  <c r="L525" i="13"/>
  <c r="L523" i="13" s="1"/>
  <c r="O523" i="13" s="1"/>
  <c r="L533" i="13"/>
  <c r="O533" i="13" s="1"/>
  <c r="I654" i="13"/>
  <c r="K654" i="13" s="1"/>
  <c r="M19" i="14"/>
  <c r="J365" i="14"/>
  <c r="K372" i="14"/>
  <c r="L59" i="12"/>
  <c r="O59" i="12" s="1"/>
  <c r="L264" i="13"/>
  <c r="L657" i="13"/>
  <c r="N19" i="14"/>
  <c r="N12" i="14"/>
  <c r="P54" i="14"/>
  <c r="K82" i="14"/>
  <c r="I76" i="14"/>
  <c r="N43" i="12"/>
  <c r="N41" i="12" s="1"/>
  <c r="K669" i="12"/>
  <c r="P46" i="13"/>
  <c r="K159" i="13"/>
  <c r="L167" i="13"/>
  <c r="L165" i="13" s="1"/>
  <c r="M167" i="13"/>
  <c r="M165" i="13" s="1"/>
  <c r="N301" i="13"/>
  <c r="O301" i="13" s="1"/>
  <c r="O303" i="13"/>
  <c r="O449" i="13"/>
  <c r="L447" i="13"/>
  <c r="O447" i="13" s="1"/>
  <c r="O29" i="14"/>
  <c r="O127" i="14"/>
  <c r="L125" i="14"/>
  <c r="O125" i="14" s="1"/>
  <c r="M151" i="14"/>
  <c r="P151" i="14" s="1"/>
  <c r="I559" i="12"/>
  <c r="I543" i="12" s="1"/>
  <c r="K543" i="12" s="1"/>
  <c r="J722" i="12"/>
  <c r="M90" i="13"/>
  <c r="M88" i="13" s="1"/>
  <c r="P137" i="13"/>
  <c r="M168" i="13"/>
  <c r="P168" i="13" s="1"/>
  <c r="I275" i="13"/>
  <c r="K275" i="13" s="1"/>
  <c r="L391" i="13"/>
  <c r="O391" i="13" s="1"/>
  <c r="O58" i="14"/>
  <c r="L56" i="14"/>
  <c r="O56" i="14" s="1"/>
  <c r="L55" i="14"/>
  <c r="L23" i="14"/>
  <c r="L121" i="14"/>
  <c r="O121" i="14" s="1"/>
  <c r="P353" i="13"/>
  <c r="J433" i="13"/>
  <c r="J417" i="13" s="1"/>
  <c r="K822" i="13"/>
  <c r="P22" i="14"/>
  <c r="M29" i="14"/>
  <c r="N331" i="14"/>
  <c r="N330" i="14"/>
  <c r="P333" i="14"/>
  <c r="P739" i="14"/>
  <c r="M737" i="14"/>
  <c r="P737" i="14" s="1"/>
  <c r="O771" i="14"/>
  <c r="L770" i="14"/>
  <c r="O770" i="14" s="1"/>
  <c r="N28" i="14"/>
  <c r="K79" i="14"/>
  <c r="I77" i="14"/>
  <c r="I112" i="14"/>
  <c r="K112" i="14" s="1"/>
  <c r="K115" i="14"/>
  <c r="P150" i="14"/>
  <c r="O154" i="14"/>
  <c r="L152" i="14"/>
  <c r="O152" i="14" s="1"/>
  <c r="P182" i="14"/>
  <c r="P403" i="14"/>
  <c r="N467" i="14"/>
  <c r="L639" i="14"/>
  <c r="O639" i="14" s="1"/>
  <c r="O641" i="14"/>
  <c r="L631" i="14"/>
  <c r="M12" i="14"/>
  <c r="M31" i="14"/>
  <c r="P31" i="14" s="1"/>
  <c r="P58" i="14"/>
  <c r="O61" i="14"/>
  <c r="L59" i="14"/>
  <c r="O59" i="14" s="1"/>
  <c r="L91" i="14"/>
  <c r="O91" i="14" s="1"/>
  <c r="P120" i="14"/>
  <c r="O124" i="14"/>
  <c r="L122" i="14"/>
  <c r="O122" i="14" s="1"/>
  <c r="I233" i="14"/>
  <c r="K233" i="14" s="1"/>
  <c r="K244" i="14"/>
  <c r="I237" i="14"/>
  <c r="O303" i="14"/>
  <c r="L300" i="14"/>
  <c r="K435" i="14"/>
  <c r="J433" i="14"/>
  <c r="J417" i="14" s="1"/>
  <c r="I433" i="14"/>
  <c r="I434" i="14"/>
  <c r="K440" i="14"/>
  <c r="O456" i="14"/>
  <c r="L446" i="14"/>
  <c r="J537" i="14"/>
  <c r="J522" i="14" s="1"/>
  <c r="K539" i="14"/>
  <c r="K378" i="13"/>
  <c r="K381" i="13"/>
  <c r="K651" i="13"/>
  <c r="O22" i="14"/>
  <c r="L19" i="14"/>
  <c r="L12" i="14"/>
  <c r="N23" i="14"/>
  <c r="N21" i="14" s="1"/>
  <c r="L26" i="14"/>
  <c r="M47" i="14"/>
  <c r="P47" i="14" s="1"/>
  <c r="M26" i="14"/>
  <c r="I86" i="14"/>
  <c r="K86" i="14" s="1"/>
  <c r="P89" i="14"/>
  <c r="P140" i="14"/>
  <c r="K145" i="14"/>
  <c r="N167" i="14"/>
  <c r="L249" i="14"/>
  <c r="L301" i="14"/>
  <c r="O301" i="14" s="1"/>
  <c r="P320" i="14"/>
  <c r="M317" i="14"/>
  <c r="N348" i="14"/>
  <c r="O348" i="14" s="1"/>
  <c r="N347" i="14"/>
  <c r="P350" i="14"/>
  <c r="N469" i="14"/>
  <c r="N470" i="14"/>
  <c r="O470" i="14" s="1"/>
  <c r="K824" i="13"/>
  <c r="M30" i="14"/>
  <c r="P30" i="14" s="1"/>
  <c r="N34" i="14"/>
  <c r="O42" i="14"/>
  <c r="O67" i="14"/>
  <c r="L90" i="14"/>
  <c r="M134" i="14"/>
  <c r="I143" i="14"/>
  <c r="L151" i="14"/>
  <c r="O151" i="14" s="1"/>
  <c r="O157" i="14"/>
  <c r="L155" i="14"/>
  <c r="O155" i="14" s="1"/>
  <c r="N392" i="14"/>
  <c r="N391" i="14"/>
  <c r="N389" i="14" s="1"/>
  <c r="P262" i="14"/>
  <c r="L264" i="14"/>
  <c r="O264" i="14" s="1"/>
  <c r="L267" i="14"/>
  <c r="O267" i="14" s="1"/>
  <c r="M280" i="14"/>
  <c r="P280" i="14" s="1"/>
  <c r="M283" i="14"/>
  <c r="P283" i="14" s="1"/>
  <c r="I297" i="14"/>
  <c r="K297" i="14" s="1"/>
  <c r="P299" i="14"/>
  <c r="L317" i="14"/>
  <c r="O317" i="14" s="1"/>
  <c r="P329" i="14"/>
  <c r="P346" i="14"/>
  <c r="P351" i="14"/>
  <c r="K359" i="14"/>
  <c r="K370" i="14"/>
  <c r="P390" i="14"/>
  <c r="I443" i="14"/>
  <c r="K443" i="14" s="1"/>
  <c r="P525" i="14"/>
  <c r="M523" i="14"/>
  <c r="P523" i="14" s="1"/>
  <c r="L789" i="14"/>
  <c r="O789" i="14" s="1"/>
  <c r="O791" i="14"/>
  <c r="O807" i="14"/>
  <c r="L805" i="14"/>
  <c r="O805" i="14" s="1"/>
  <c r="O524" i="14"/>
  <c r="O738" i="14"/>
  <c r="L737" i="14"/>
  <c r="O737" i="14" s="1"/>
  <c r="P756" i="14"/>
  <c r="M754" i="14"/>
  <c r="P754" i="14" s="1"/>
  <c r="N807" i="14"/>
  <c r="N805" i="14" s="1"/>
  <c r="N808" i="14"/>
  <c r="I275" i="14"/>
  <c r="K275" i="14" s="1"/>
  <c r="J288" i="14"/>
  <c r="J275" i="14" s="1"/>
  <c r="P353" i="14"/>
  <c r="K360" i="14"/>
  <c r="L477" i="14"/>
  <c r="O477" i="14" s="1"/>
  <c r="L469" i="14"/>
  <c r="O469" i="14" s="1"/>
  <c r="O479" i="14"/>
  <c r="I248" i="14"/>
  <c r="K248" i="14" s="1"/>
  <c r="N300" i="14"/>
  <c r="N298" i="14" s="1"/>
  <c r="O333" i="14"/>
  <c r="O350" i="14"/>
  <c r="K355" i="14"/>
  <c r="O755" i="14"/>
  <c r="L754" i="14"/>
  <c r="O754" i="14" s="1"/>
  <c r="P772" i="14"/>
  <c r="M770" i="14"/>
  <c r="P770" i="14" s="1"/>
  <c r="K369" i="14"/>
  <c r="O410" i="14"/>
  <c r="O687" i="14"/>
  <c r="L685" i="14"/>
  <c r="O685" i="14" s="1"/>
  <c r="O472" i="14"/>
  <c r="O528" i="14"/>
  <c r="L547" i="14"/>
  <c r="O547" i="14" s="1"/>
  <c r="L555" i="14"/>
  <c r="O555" i="14" s="1"/>
  <c r="L502" i="14"/>
  <c r="O502" i="14" s="1"/>
  <c r="M685" i="14"/>
  <c r="P685" i="14" s="1"/>
  <c r="M786" i="14"/>
  <c r="P786" i="14" s="1"/>
  <c r="K593" i="14"/>
  <c r="K824" i="11"/>
  <c r="N23" i="13"/>
  <c r="P96" i="13"/>
  <c r="K99" i="13"/>
  <c r="O124" i="13"/>
  <c r="N121" i="13"/>
  <c r="N119" i="13" s="1"/>
  <c r="K144" i="13"/>
  <c r="L168" i="13"/>
  <c r="O168" i="13" s="1"/>
  <c r="K193" i="13"/>
  <c r="L217" i="13"/>
  <c r="O217" i="13" s="1"/>
  <c r="P269" i="13"/>
  <c r="L304" i="13"/>
  <c r="O304" i="13" s="1"/>
  <c r="N331" i="13"/>
  <c r="P331" i="13" s="1"/>
  <c r="M334" i="13"/>
  <c r="P334" i="13" s="1"/>
  <c r="L348" i="13"/>
  <c r="O353" i="13"/>
  <c r="N392" i="13"/>
  <c r="M395" i="13"/>
  <c r="P395" i="13" s="1"/>
  <c r="O535" i="13"/>
  <c r="K592" i="13"/>
  <c r="P140" i="11"/>
  <c r="L231" i="12"/>
  <c r="L44" i="13"/>
  <c r="O44" i="13" s="1"/>
  <c r="N43" i="13"/>
  <c r="N41" i="13" s="1"/>
  <c r="M69" i="13"/>
  <c r="P69" i="13" s="1"/>
  <c r="L72" i="13"/>
  <c r="O72" i="13" s="1"/>
  <c r="M125" i="13"/>
  <c r="P125" i="13" s="1"/>
  <c r="M183" i="13"/>
  <c r="M181" i="13" s="1"/>
  <c r="M187" i="13"/>
  <c r="P187" i="13" s="1"/>
  <c r="J327" i="13"/>
  <c r="K327" i="13" s="1"/>
  <c r="L477" i="13"/>
  <c r="O477" i="13" s="1"/>
  <c r="L395" i="12"/>
  <c r="O395" i="12" s="1"/>
  <c r="I143" i="13"/>
  <c r="J288" i="13"/>
  <c r="J275" i="13" s="1"/>
  <c r="N348" i="13"/>
  <c r="O351" i="13"/>
  <c r="K593" i="13"/>
  <c r="O660" i="13"/>
  <c r="K669" i="13"/>
  <c r="M43" i="10"/>
  <c r="M41" i="10" s="1"/>
  <c r="M135" i="12"/>
  <c r="P135" i="12" s="1"/>
  <c r="K647" i="12"/>
  <c r="O91" i="13"/>
  <c r="N90" i="13"/>
  <c r="N88" i="13" s="1"/>
  <c r="N263" i="13"/>
  <c r="N261" i="13" s="1"/>
  <c r="O333" i="13"/>
  <c r="K340" i="13"/>
  <c r="I443" i="13"/>
  <c r="K443" i="13" s="1"/>
  <c r="K560" i="13"/>
  <c r="L68" i="13"/>
  <c r="O68" i="13" s="1"/>
  <c r="M330" i="13"/>
  <c r="K369" i="13"/>
  <c r="K372" i="13"/>
  <c r="M391" i="13"/>
  <c r="P391" i="13" s="1"/>
  <c r="L422" i="13"/>
  <c r="O422" i="13" s="1"/>
  <c r="L546" i="11"/>
  <c r="L544" i="11" s="1"/>
  <c r="L217" i="12"/>
  <c r="O217" i="12" s="1"/>
  <c r="I654" i="12"/>
  <c r="K654" i="12" s="1"/>
  <c r="K673" i="12"/>
  <c r="L33" i="13"/>
  <c r="N59" i="13"/>
  <c r="P59" i="13" s="1"/>
  <c r="O61" i="13"/>
  <c r="N69" i="13"/>
  <c r="O71" i="13"/>
  <c r="O93" i="13"/>
  <c r="N135" i="13"/>
  <c r="P135" i="13" s="1"/>
  <c r="P138" i="13"/>
  <c r="L151" i="13"/>
  <c r="O151" i="13" s="1"/>
  <c r="L187" i="13"/>
  <c r="O187" i="13" s="1"/>
  <c r="K204" i="13"/>
  <c r="L231" i="13"/>
  <c r="M263" i="13"/>
  <c r="M280" i="13"/>
  <c r="P280" i="13" s="1"/>
  <c r="P282" i="13"/>
  <c r="M300" i="13"/>
  <c r="P303" i="13"/>
  <c r="N317" i="13"/>
  <c r="N315" i="13" s="1"/>
  <c r="M351" i="13"/>
  <c r="P351" i="13" s="1"/>
  <c r="K359" i="13"/>
  <c r="K362" i="13"/>
  <c r="K365" i="13"/>
  <c r="K379" i="13"/>
  <c r="M392" i="13"/>
  <c r="P392" i="13" s="1"/>
  <c r="K435" i="13"/>
  <c r="K440" i="13"/>
  <c r="L688" i="13"/>
  <c r="O688" i="13" s="1"/>
  <c r="O690" i="13"/>
  <c r="N264" i="13"/>
  <c r="O634" i="13"/>
  <c r="L632" i="13"/>
  <c r="O632" i="13" s="1"/>
  <c r="O353" i="12"/>
  <c r="P49" i="13"/>
  <c r="L138" i="13"/>
  <c r="O138" i="13" s="1"/>
  <c r="L318" i="13"/>
  <c r="O318" i="13" s="1"/>
  <c r="M347" i="13"/>
  <c r="K355" i="13"/>
  <c r="P394" i="13"/>
  <c r="O549" i="13"/>
  <c r="L470" i="11"/>
  <c r="O470" i="11" s="1"/>
  <c r="L470" i="13"/>
  <c r="O470" i="13" s="1"/>
  <c r="O91" i="12"/>
  <c r="I112" i="12"/>
  <c r="K112" i="12" s="1"/>
  <c r="M44" i="13"/>
  <c r="P44" i="13" s="1"/>
  <c r="M72" i="13"/>
  <c r="P72" i="13" s="1"/>
  <c r="P93" i="13"/>
  <c r="M155" i="13"/>
  <c r="P155" i="13" s="1"/>
  <c r="L198" i="13"/>
  <c r="O198" i="13" s="1"/>
  <c r="L267" i="13"/>
  <c r="O267" i="13" s="1"/>
  <c r="M283" i="13"/>
  <c r="P283" i="13" s="1"/>
  <c r="L321" i="13"/>
  <c r="O321" i="13" s="1"/>
  <c r="P333" i="13"/>
  <c r="O350" i="13"/>
  <c r="K370" i="13"/>
  <c r="K385" i="13"/>
  <c r="L395" i="13"/>
  <c r="O395" i="13" s="1"/>
  <c r="L405" i="13"/>
  <c r="O405" i="13" s="1"/>
  <c r="L546" i="13"/>
  <c r="L544" i="13" s="1"/>
  <c r="L555" i="13"/>
  <c r="O555" i="13" s="1"/>
  <c r="O557" i="13"/>
  <c r="K827" i="13"/>
  <c r="I364" i="12"/>
  <c r="K378" i="12"/>
  <c r="K381" i="12"/>
  <c r="O137" i="13"/>
  <c r="N167" i="13"/>
  <c r="N165" i="13" s="1"/>
  <c r="O186" i="13"/>
  <c r="I208" i="13"/>
  <c r="K208" i="13" s="1"/>
  <c r="L238" i="13"/>
  <c r="O238" i="13" s="1"/>
  <c r="I276" i="13"/>
  <c r="K276" i="13" s="1"/>
  <c r="N279" i="13"/>
  <c r="N277" i="13" s="1"/>
  <c r="I297" i="13"/>
  <c r="K297" i="13" s="1"/>
  <c r="I314" i="13"/>
  <c r="K314" i="13" s="1"/>
  <c r="P350" i="13"/>
  <c r="L404" i="13"/>
  <c r="O404" i="13" s="1"/>
  <c r="I433" i="13"/>
  <c r="I417" i="13" s="1"/>
  <c r="L209" i="12"/>
  <c r="O209" i="12" s="1"/>
  <c r="L26" i="13"/>
  <c r="P170" i="13"/>
  <c r="P306" i="13"/>
  <c r="K374" i="13"/>
  <c r="M404" i="13"/>
  <c r="P410" i="13"/>
  <c r="J537" i="13"/>
  <c r="K537" i="13" s="1"/>
  <c r="K538" i="13"/>
  <c r="K672" i="13"/>
  <c r="K594" i="13"/>
  <c r="K673" i="13"/>
  <c r="K821" i="13"/>
  <c r="P19" i="13"/>
  <c r="O336" i="13"/>
  <c r="L334" i="13"/>
  <c r="O334" i="13" s="1"/>
  <c r="N55" i="11"/>
  <c r="N53" i="11" s="1"/>
  <c r="M43" i="12"/>
  <c r="M41" i="12" s="1"/>
  <c r="L68" i="12"/>
  <c r="O68" i="12" s="1"/>
  <c r="P170" i="12"/>
  <c r="I216" i="12"/>
  <c r="K216" i="12" s="1"/>
  <c r="K309" i="12"/>
  <c r="N317" i="12"/>
  <c r="N315" i="12" s="1"/>
  <c r="K360" i="12"/>
  <c r="K369" i="12"/>
  <c r="K372" i="12"/>
  <c r="L546" i="12"/>
  <c r="L544" i="12" s="1"/>
  <c r="O544" i="12" s="1"/>
  <c r="L29" i="13"/>
  <c r="M34" i="13"/>
  <c r="P34" i="13" s="1"/>
  <c r="M26" i="13"/>
  <c r="L55" i="13"/>
  <c r="N56" i="13"/>
  <c r="O56" i="13" s="1"/>
  <c r="M68" i="13"/>
  <c r="M122" i="13"/>
  <c r="P122" i="13" s="1"/>
  <c r="N125" i="13"/>
  <c r="L134" i="13"/>
  <c r="M151" i="13"/>
  <c r="O157" i="13"/>
  <c r="L184" i="13"/>
  <c r="O184" i="13" s="1"/>
  <c r="L789" i="13"/>
  <c r="O789" i="13" s="1"/>
  <c r="O791" i="13"/>
  <c r="K360" i="11"/>
  <c r="K381" i="11"/>
  <c r="M167" i="12"/>
  <c r="M165" i="12" s="1"/>
  <c r="L229" i="12"/>
  <c r="P22" i="13"/>
  <c r="L43" i="13"/>
  <c r="L41" i="13" s="1"/>
  <c r="M55" i="13"/>
  <c r="L121" i="13"/>
  <c r="M134" i="13"/>
  <c r="N151" i="13"/>
  <c r="N149" i="13" s="1"/>
  <c r="I233" i="13"/>
  <c r="K233" i="13" s="1"/>
  <c r="K244" i="13"/>
  <c r="I237" i="13"/>
  <c r="O771" i="13"/>
  <c r="L770" i="13"/>
  <c r="O770" i="13" s="1"/>
  <c r="L135" i="13"/>
  <c r="I364" i="11"/>
  <c r="O173" i="12"/>
  <c r="K649" i="12"/>
  <c r="L23" i="13"/>
  <c r="L21" i="13" s="1"/>
  <c r="N29" i="13"/>
  <c r="N28" i="13" s="1"/>
  <c r="M43" i="13"/>
  <c r="O49" i="13"/>
  <c r="N55" i="13"/>
  <c r="N53" i="13" s="1"/>
  <c r="O58" i="13"/>
  <c r="P61" i="13"/>
  <c r="I76" i="13"/>
  <c r="P89" i="13"/>
  <c r="P91" i="13"/>
  <c r="I112" i="13"/>
  <c r="K112" i="13" s="1"/>
  <c r="M121" i="13"/>
  <c r="P121" i="13" s="1"/>
  <c r="O127" i="13"/>
  <c r="P140" i="13"/>
  <c r="P154" i="13"/>
  <c r="L183" i="13"/>
  <c r="P186" i="13"/>
  <c r="O320" i="13"/>
  <c r="L639" i="13"/>
  <c r="O639" i="13" s="1"/>
  <c r="O641" i="13"/>
  <c r="L631" i="13"/>
  <c r="P316" i="13"/>
  <c r="L90" i="6"/>
  <c r="L88" i="6" s="1"/>
  <c r="O184" i="11"/>
  <c r="O306" i="11"/>
  <c r="M138" i="12"/>
  <c r="P138" i="12" s="1"/>
  <c r="P184" i="12"/>
  <c r="I208" i="12"/>
  <c r="K208" i="12" s="1"/>
  <c r="J364" i="12"/>
  <c r="K370" i="12"/>
  <c r="M12" i="13"/>
  <c r="M23" i="13"/>
  <c r="M21" i="13" s="1"/>
  <c r="M28" i="13"/>
  <c r="P28" i="13" s="1"/>
  <c r="P58" i="13"/>
  <c r="K79" i="13"/>
  <c r="I77" i="13"/>
  <c r="L90" i="13"/>
  <c r="I216" i="13"/>
  <c r="K216" i="13" s="1"/>
  <c r="L228" i="13"/>
  <c r="L249" i="13"/>
  <c r="O249" i="13" s="1"/>
  <c r="P61" i="11"/>
  <c r="M300" i="12"/>
  <c r="P300" i="12" s="1"/>
  <c r="K362" i="12"/>
  <c r="O549" i="12"/>
  <c r="K822" i="12"/>
  <c r="N12" i="13"/>
  <c r="O22" i="13"/>
  <c r="L19" i="13"/>
  <c r="L12" i="13"/>
  <c r="O133" i="13"/>
  <c r="I174" i="13"/>
  <c r="N183" i="13"/>
  <c r="M321" i="13"/>
  <c r="P321" i="13" s="1"/>
  <c r="P323" i="13"/>
  <c r="L330" i="13"/>
  <c r="P545" i="13"/>
  <c r="M544" i="13"/>
  <c r="P544" i="13" s="1"/>
  <c r="O738" i="13"/>
  <c r="L737" i="13"/>
  <c r="O737" i="13" s="1"/>
  <c r="K338" i="13"/>
  <c r="L526" i="13"/>
  <c r="O526" i="13" s="1"/>
  <c r="O528" i="13"/>
  <c r="N544" i="13"/>
  <c r="L454" i="13"/>
  <c r="O454" i="13" s="1"/>
  <c r="O456" i="13"/>
  <c r="L446" i="13"/>
  <c r="O446" i="13" s="1"/>
  <c r="N685" i="13"/>
  <c r="O755" i="13"/>
  <c r="L754" i="13"/>
  <c r="O754" i="13" s="1"/>
  <c r="N807" i="13"/>
  <c r="N805" i="13" s="1"/>
  <c r="N808" i="13"/>
  <c r="M318" i="13"/>
  <c r="P318" i="13" s="1"/>
  <c r="P320" i="13"/>
  <c r="L331" i="13"/>
  <c r="L429" i="13"/>
  <c r="O429" i="13" s="1"/>
  <c r="O431" i="13"/>
  <c r="L421" i="13"/>
  <c r="O421" i="13" s="1"/>
  <c r="N444" i="13"/>
  <c r="N414" i="13" s="1"/>
  <c r="L469" i="13"/>
  <c r="L685" i="13"/>
  <c r="O685" i="13" s="1"/>
  <c r="M737" i="13"/>
  <c r="P737" i="13" s="1"/>
  <c r="M754" i="13"/>
  <c r="P754" i="13" s="1"/>
  <c r="M770" i="13"/>
  <c r="P770" i="13" s="1"/>
  <c r="L786" i="13"/>
  <c r="O786" i="13" s="1"/>
  <c r="L805" i="13"/>
  <c r="O805" i="13" s="1"/>
  <c r="I442" i="13"/>
  <c r="K442" i="13" s="1"/>
  <c r="M523" i="13"/>
  <c r="P523" i="13" s="1"/>
  <c r="M685" i="13"/>
  <c r="P685" i="13" s="1"/>
  <c r="M786" i="13"/>
  <c r="P786" i="13" s="1"/>
  <c r="K800" i="13"/>
  <c r="M805" i="13"/>
  <c r="P805" i="13" s="1"/>
  <c r="I248" i="13"/>
  <c r="K248" i="13" s="1"/>
  <c r="N43" i="10"/>
  <c r="N41" i="10" s="1"/>
  <c r="K224" i="11"/>
  <c r="P333" i="11"/>
  <c r="K369" i="11"/>
  <c r="L36" i="12"/>
  <c r="O36" i="12" s="1"/>
  <c r="N55" i="12"/>
  <c r="N53" i="12" s="1"/>
  <c r="M69" i="12"/>
  <c r="P69" i="12" s="1"/>
  <c r="I174" i="12"/>
  <c r="K174" i="12" s="1"/>
  <c r="N351" i="12"/>
  <c r="O351" i="12" s="1"/>
  <c r="K359" i="12"/>
  <c r="N404" i="12"/>
  <c r="N402" i="12" s="1"/>
  <c r="O557" i="12"/>
  <c r="L687" i="12"/>
  <c r="O687" i="12" s="1"/>
  <c r="P394" i="11"/>
  <c r="M59" i="12"/>
  <c r="P59" i="12" s="1"/>
  <c r="O96" i="12"/>
  <c r="L121" i="12"/>
  <c r="O121" i="12" s="1"/>
  <c r="I130" i="12"/>
  <c r="K130" i="12" s="1"/>
  <c r="N151" i="12"/>
  <c r="N149" i="12" s="1"/>
  <c r="K244" i="12"/>
  <c r="N300" i="12"/>
  <c r="N298" i="12" s="1"/>
  <c r="M330" i="12"/>
  <c r="M328" i="12" s="1"/>
  <c r="P331" i="12"/>
  <c r="K338" i="12"/>
  <c r="K355" i="12"/>
  <c r="K379" i="12"/>
  <c r="N391" i="12"/>
  <c r="N389" i="12" s="1"/>
  <c r="O410" i="12"/>
  <c r="I442" i="12"/>
  <c r="K442" i="12" s="1"/>
  <c r="K823" i="12"/>
  <c r="L267" i="11"/>
  <c r="O267" i="11" s="1"/>
  <c r="P282" i="11"/>
  <c r="M55" i="12"/>
  <c r="M53" i="12" s="1"/>
  <c r="L321" i="12"/>
  <c r="O321" i="12" s="1"/>
  <c r="K628" i="12"/>
  <c r="L68" i="11"/>
  <c r="O68" i="11" s="1"/>
  <c r="L72" i="11"/>
  <c r="O72" i="11" s="1"/>
  <c r="O56" i="12"/>
  <c r="O58" i="12"/>
  <c r="I77" i="12"/>
  <c r="I65" i="12" s="1"/>
  <c r="K65" i="12" s="1"/>
  <c r="N168" i="12"/>
  <c r="P168" i="12" s="1"/>
  <c r="K821" i="12"/>
  <c r="P353" i="11"/>
  <c r="K362" i="11"/>
  <c r="K385" i="11"/>
  <c r="P58" i="12"/>
  <c r="N167" i="12"/>
  <c r="N165" i="12" s="1"/>
  <c r="N183" i="12"/>
  <c r="N181" i="12" s="1"/>
  <c r="N279" i="12"/>
  <c r="N277" i="12" s="1"/>
  <c r="K385" i="12"/>
  <c r="I434" i="12"/>
  <c r="N59" i="12"/>
  <c r="L330" i="12"/>
  <c r="L328" i="12" s="1"/>
  <c r="O336" i="12"/>
  <c r="L334" i="12"/>
  <c r="O334" i="12" s="1"/>
  <c r="N134" i="10"/>
  <c r="N132" i="10" s="1"/>
  <c r="L228" i="11"/>
  <c r="P46" i="12"/>
  <c r="N26" i="12"/>
  <c r="N16" i="12" s="1"/>
  <c r="M68" i="12"/>
  <c r="P68" i="12" s="1"/>
  <c r="I76" i="12"/>
  <c r="I64" i="12" s="1"/>
  <c r="K64" i="12" s="1"/>
  <c r="P96" i="12"/>
  <c r="P186" i="12"/>
  <c r="L198" i="12"/>
  <c r="O198" i="12" s="1"/>
  <c r="N263" i="12"/>
  <c r="N261" i="12" s="1"/>
  <c r="L283" i="12"/>
  <c r="O283" i="12" s="1"/>
  <c r="L279" i="12"/>
  <c r="M321" i="12"/>
  <c r="P321" i="12" s="1"/>
  <c r="M47" i="10"/>
  <c r="P47" i="10" s="1"/>
  <c r="L230" i="10"/>
  <c r="K365" i="10"/>
  <c r="O61" i="11"/>
  <c r="L229" i="11"/>
  <c r="O264" i="11"/>
  <c r="K340" i="11"/>
  <c r="M47" i="12"/>
  <c r="P47" i="12" s="1"/>
  <c r="L55" i="12"/>
  <c r="L53" i="12" s="1"/>
  <c r="N68" i="12"/>
  <c r="N66" i="12" s="1"/>
  <c r="O93" i="12"/>
  <c r="L90" i="12"/>
  <c r="N121" i="12"/>
  <c r="N119" i="12" s="1"/>
  <c r="L135" i="12"/>
  <c r="O135" i="12" s="1"/>
  <c r="L134" i="12"/>
  <c r="K271" i="12"/>
  <c r="O320" i="12"/>
  <c r="L317" i="12"/>
  <c r="O660" i="12"/>
  <c r="L657" i="12"/>
  <c r="O657" i="12" s="1"/>
  <c r="P303" i="12"/>
  <c r="M301" i="12"/>
  <c r="P301" i="12" s="1"/>
  <c r="I314" i="11"/>
  <c r="K314" i="11" s="1"/>
  <c r="M91" i="12"/>
  <c r="P91" i="12" s="1"/>
  <c r="M90" i="12"/>
  <c r="O189" i="12"/>
  <c r="L230" i="12"/>
  <c r="M317" i="12"/>
  <c r="M318" i="12"/>
  <c r="P318" i="12" s="1"/>
  <c r="M405" i="12"/>
  <c r="P405" i="12" s="1"/>
  <c r="P407" i="12"/>
  <c r="M404" i="12"/>
  <c r="P127" i="12"/>
  <c r="M125" i="12"/>
  <c r="P125" i="12" s="1"/>
  <c r="K224" i="10"/>
  <c r="K309" i="10"/>
  <c r="O59" i="11"/>
  <c r="N151" i="11"/>
  <c r="N149" i="11" s="1"/>
  <c r="P350" i="11"/>
  <c r="M183" i="12"/>
  <c r="O186" i="12"/>
  <c r="L183" i="12"/>
  <c r="L184" i="12"/>
  <c r="O184" i="12" s="1"/>
  <c r="K287" i="12"/>
  <c r="I276" i="12"/>
  <c r="K276" i="12" s="1"/>
  <c r="O331" i="12"/>
  <c r="P397" i="12"/>
  <c r="M391" i="12"/>
  <c r="M389" i="12" s="1"/>
  <c r="P389" i="12" s="1"/>
  <c r="M395" i="12"/>
  <c r="P395" i="12" s="1"/>
  <c r="L422" i="3"/>
  <c r="O422" i="3" s="1"/>
  <c r="L470" i="3"/>
  <c r="O470" i="3" s="1"/>
  <c r="O170" i="12"/>
  <c r="L167" i="12"/>
  <c r="L165" i="12" s="1"/>
  <c r="L168" i="12"/>
  <c r="L125" i="11"/>
  <c r="O125" i="11" s="1"/>
  <c r="L263" i="11"/>
  <c r="L261" i="11" s="1"/>
  <c r="O266" i="11"/>
  <c r="N23" i="12"/>
  <c r="N13" i="12" s="1"/>
  <c r="M72" i="12"/>
  <c r="P72" i="12" s="1"/>
  <c r="P93" i="12"/>
  <c r="L155" i="12"/>
  <c r="O155" i="12" s="1"/>
  <c r="P269" i="12"/>
  <c r="M267" i="12"/>
  <c r="P267" i="12" s="1"/>
  <c r="P320" i="12"/>
  <c r="L533" i="12"/>
  <c r="O533" i="12" s="1"/>
  <c r="O535" i="12"/>
  <c r="L525" i="12"/>
  <c r="P173" i="12"/>
  <c r="P189" i="12"/>
  <c r="L405" i="12"/>
  <c r="O405" i="12" s="1"/>
  <c r="P410" i="12"/>
  <c r="I433" i="12"/>
  <c r="O690" i="12"/>
  <c r="L347" i="12"/>
  <c r="L345" i="12" s="1"/>
  <c r="K374" i="12"/>
  <c r="L404" i="12"/>
  <c r="O404" i="12" s="1"/>
  <c r="J433" i="12"/>
  <c r="J417" i="12" s="1"/>
  <c r="K651" i="12"/>
  <c r="J721" i="12"/>
  <c r="K824" i="12"/>
  <c r="K827" i="12"/>
  <c r="N347" i="12"/>
  <c r="N345" i="12" s="1"/>
  <c r="L391" i="12"/>
  <c r="O391" i="12" s="1"/>
  <c r="O140" i="12"/>
  <c r="L152" i="12"/>
  <c r="O152" i="12" s="1"/>
  <c r="L249" i="12"/>
  <c r="O249" i="12" s="1"/>
  <c r="J327" i="12"/>
  <c r="K327" i="12" s="1"/>
  <c r="N348" i="12"/>
  <c r="O348" i="12" s="1"/>
  <c r="P353" i="12"/>
  <c r="K674" i="12"/>
  <c r="K828" i="12"/>
  <c r="L56" i="11"/>
  <c r="P22" i="12"/>
  <c r="M19" i="12"/>
  <c r="M12" i="12"/>
  <c r="J722" i="10"/>
  <c r="O46" i="11"/>
  <c r="M59" i="11"/>
  <c r="P59" i="11" s="1"/>
  <c r="I130" i="11"/>
  <c r="K130" i="11" s="1"/>
  <c r="L134" i="11"/>
  <c r="O134" i="11" s="1"/>
  <c r="P137" i="11"/>
  <c r="M171" i="11"/>
  <c r="P171" i="11" s="1"/>
  <c r="I174" i="11"/>
  <c r="K174" i="11" s="1"/>
  <c r="L198" i="11"/>
  <c r="O198" i="11" s="1"/>
  <c r="N263" i="11"/>
  <c r="N261" i="11" s="1"/>
  <c r="L300" i="11"/>
  <c r="L298" i="11" s="1"/>
  <c r="O298" i="11" s="1"/>
  <c r="M330" i="11"/>
  <c r="M328" i="11" s="1"/>
  <c r="J327" i="11"/>
  <c r="K327" i="11" s="1"/>
  <c r="N348" i="11"/>
  <c r="P348" i="11" s="1"/>
  <c r="L404" i="11"/>
  <c r="L402" i="11" s="1"/>
  <c r="O402" i="11" s="1"/>
  <c r="K576" i="11"/>
  <c r="I559" i="11"/>
  <c r="I543" i="11" s="1"/>
  <c r="K543" i="11" s="1"/>
  <c r="K651" i="11"/>
  <c r="K822" i="11"/>
  <c r="K828" i="11"/>
  <c r="J143" i="12"/>
  <c r="J131" i="12" s="1"/>
  <c r="K144" i="12"/>
  <c r="O262" i="12"/>
  <c r="O424" i="12"/>
  <c r="L422" i="12"/>
  <c r="L421" i="12"/>
  <c r="O421" i="12" s="1"/>
  <c r="L33" i="12"/>
  <c r="L31" i="12" s="1"/>
  <c r="O31" i="12" s="1"/>
  <c r="P35" i="12"/>
  <c r="M34" i="12"/>
  <c r="P34" i="12" s="1"/>
  <c r="I148" i="11"/>
  <c r="K148" i="11" s="1"/>
  <c r="K378" i="11"/>
  <c r="M404" i="11"/>
  <c r="P410" i="11"/>
  <c r="L69" i="12"/>
  <c r="O69" i="12" s="1"/>
  <c r="O71" i="12"/>
  <c r="P631" i="12"/>
  <c r="M629" i="12"/>
  <c r="P629" i="12" s="1"/>
  <c r="L72" i="12"/>
  <c r="O72" i="12" s="1"/>
  <c r="O74" i="12"/>
  <c r="J87" i="12"/>
  <c r="K99" i="12"/>
  <c r="L230" i="8"/>
  <c r="M167" i="11"/>
  <c r="M165" i="11" s="1"/>
  <c r="M15" i="12"/>
  <c r="M29" i="12"/>
  <c r="L41" i="12"/>
  <c r="L44" i="12"/>
  <c r="L23" i="12"/>
  <c r="O46" i="12"/>
  <c r="L47" i="12"/>
  <c r="O47" i="12" s="1"/>
  <c r="O49" i="12"/>
  <c r="L26" i="12"/>
  <c r="P266" i="12"/>
  <c r="M263" i="12"/>
  <c r="M23" i="12"/>
  <c r="M21" i="12" s="1"/>
  <c r="M264" i="12"/>
  <c r="P264" i="12" s="1"/>
  <c r="L267" i="12"/>
  <c r="O267" i="12" s="1"/>
  <c r="O269" i="12"/>
  <c r="L263" i="12"/>
  <c r="L261" i="12" s="1"/>
  <c r="J537" i="12"/>
  <c r="J522" i="12" s="1"/>
  <c r="K539" i="12"/>
  <c r="M47" i="9"/>
  <c r="P47" i="9" s="1"/>
  <c r="L231" i="11"/>
  <c r="I276" i="11"/>
  <c r="K276" i="11" s="1"/>
  <c r="L280" i="11"/>
  <c r="O280" i="11" s="1"/>
  <c r="K537" i="11"/>
  <c r="I522" i="11"/>
  <c r="K522" i="11" s="1"/>
  <c r="J721" i="11"/>
  <c r="N30" i="12"/>
  <c r="K87" i="12"/>
  <c r="P157" i="12"/>
  <c r="M151" i="12"/>
  <c r="M26" i="12"/>
  <c r="M155" i="12"/>
  <c r="P155" i="12" s="1"/>
  <c r="K379" i="11"/>
  <c r="K649" i="11"/>
  <c r="J722" i="11"/>
  <c r="K826" i="11"/>
  <c r="N9" i="12"/>
  <c r="N15" i="12"/>
  <c r="N29" i="12"/>
  <c r="N28" i="12" s="1"/>
  <c r="N44" i="12"/>
  <c r="P44" i="12" s="1"/>
  <c r="N47" i="12"/>
  <c r="O54" i="12"/>
  <c r="I86" i="12"/>
  <c r="K86" i="12" s="1"/>
  <c r="M121" i="12"/>
  <c r="N134" i="12"/>
  <c r="N132" i="12" s="1"/>
  <c r="L151" i="12"/>
  <c r="O151" i="12" s="1"/>
  <c r="L238" i="12"/>
  <c r="I314" i="12"/>
  <c r="K314" i="12" s="1"/>
  <c r="O120" i="12"/>
  <c r="K145" i="12"/>
  <c r="I143" i="12"/>
  <c r="L301" i="12"/>
  <c r="O301" i="12" s="1"/>
  <c r="O303" i="12"/>
  <c r="P421" i="12"/>
  <c r="M419" i="12"/>
  <c r="P545" i="12"/>
  <c r="M544" i="12"/>
  <c r="P544" i="12" s="1"/>
  <c r="L122" i="12"/>
  <c r="O122" i="12" s="1"/>
  <c r="O150" i="12"/>
  <c r="K159" i="12"/>
  <c r="M280" i="12"/>
  <c r="P280" i="12" s="1"/>
  <c r="P282" i="12"/>
  <c r="J288" i="12"/>
  <c r="J275" i="12" s="1"/>
  <c r="O299" i="12"/>
  <c r="L304" i="12"/>
  <c r="O304" i="12" s="1"/>
  <c r="O306" i="12"/>
  <c r="O333" i="12"/>
  <c r="P350" i="12"/>
  <c r="M348" i="12"/>
  <c r="K80" i="12"/>
  <c r="M122" i="12"/>
  <c r="P122" i="12" s="1"/>
  <c r="M283" i="12"/>
  <c r="P283" i="12" s="1"/>
  <c r="P285" i="12"/>
  <c r="O634" i="12"/>
  <c r="L632" i="12"/>
  <c r="L9" i="12"/>
  <c r="L15" i="12"/>
  <c r="L29" i="12"/>
  <c r="M30" i="12"/>
  <c r="P30" i="12" s="1"/>
  <c r="K116" i="12"/>
  <c r="L125" i="12"/>
  <c r="O125" i="12" s="1"/>
  <c r="M152" i="12"/>
  <c r="P152" i="12" s="1"/>
  <c r="I190" i="12"/>
  <c r="K190" i="12" s="1"/>
  <c r="K255" i="12"/>
  <c r="I248" i="12"/>
  <c r="I233" i="12"/>
  <c r="K233" i="12" s="1"/>
  <c r="L264" i="12"/>
  <c r="O264" i="12" s="1"/>
  <c r="O266" i="12"/>
  <c r="I275" i="12"/>
  <c r="K275" i="12" s="1"/>
  <c r="P278" i="12"/>
  <c r="M304" i="12"/>
  <c r="P304" i="12" s="1"/>
  <c r="N330" i="12"/>
  <c r="O472" i="12"/>
  <c r="L469" i="12"/>
  <c r="O469" i="12" s="1"/>
  <c r="L631" i="12"/>
  <c r="O631" i="12" s="1"/>
  <c r="N754" i="12"/>
  <c r="P787" i="12"/>
  <c r="M786" i="12"/>
  <c r="P786" i="12" s="1"/>
  <c r="O282" i="12"/>
  <c r="O285" i="12"/>
  <c r="P333" i="12"/>
  <c r="O350" i="12"/>
  <c r="O390" i="12"/>
  <c r="O420" i="12"/>
  <c r="L446" i="12"/>
  <c r="O446" i="12" s="1"/>
  <c r="O504" i="12"/>
  <c r="L502" i="12"/>
  <c r="O502" i="12" s="1"/>
  <c r="I592" i="12"/>
  <c r="K592" i="12" s="1"/>
  <c r="K593" i="12"/>
  <c r="O630" i="12"/>
  <c r="O738" i="12"/>
  <c r="L737" i="12"/>
  <c r="O737" i="12" s="1"/>
  <c r="O771" i="12"/>
  <c r="L770" i="12"/>
  <c r="O770" i="12" s="1"/>
  <c r="N786" i="12"/>
  <c r="L392" i="12"/>
  <c r="O392" i="12" s="1"/>
  <c r="P446" i="12"/>
  <c r="M444" i="12"/>
  <c r="P444" i="12" s="1"/>
  <c r="L477" i="12"/>
  <c r="O477" i="12" s="1"/>
  <c r="N504" i="12"/>
  <c r="N502" i="12" s="1"/>
  <c r="N505" i="12"/>
  <c r="O791" i="12"/>
  <c r="I197" i="12"/>
  <c r="K197" i="12" s="1"/>
  <c r="M334" i="12"/>
  <c r="P334" i="12" s="1"/>
  <c r="M351" i="12"/>
  <c r="K365" i="12"/>
  <c r="M392" i="12"/>
  <c r="P392" i="12" s="1"/>
  <c r="N419" i="12"/>
  <c r="N422" i="12"/>
  <c r="O431" i="12"/>
  <c r="O445" i="12"/>
  <c r="L447" i="12"/>
  <c r="O447" i="12" s="1"/>
  <c r="P524" i="12"/>
  <c r="M523" i="12"/>
  <c r="P523" i="12" s="1"/>
  <c r="O528" i="12"/>
  <c r="I522" i="12"/>
  <c r="K522" i="12" s="1"/>
  <c r="K537" i="12"/>
  <c r="N629" i="12"/>
  <c r="N632" i="12"/>
  <c r="O641" i="12"/>
  <c r="P686" i="12"/>
  <c r="M685" i="12"/>
  <c r="P685" i="12" s="1"/>
  <c r="L788" i="12"/>
  <c r="N807" i="12"/>
  <c r="N805" i="12" s="1"/>
  <c r="K340" i="12"/>
  <c r="K466" i="12"/>
  <c r="O755" i="12"/>
  <c r="L754" i="12"/>
  <c r="O754" i="12" s="1"/>
  <c r="P806" i="12"/>
  <c r="M805" i="12"/>
  <c r="P805" i="12" s="1"/>
  <c r="K675" i="12"/>
  <c r="M90" i="6"/>
  <c r="N317" i="8"/>
  <c r="N315" i="8" s="1"/>
  <c r="M183" i="9"/>
  <c r="M181" i="9" s="1"/>
  <c r="N279" i="9"/>
  <c r="N277" i="9" s="1"/>
  <c r="L134" i="10"/>
  <c r="O134" i="10" s="1"/>
  <c r="O549" i="10"/>
  <c r="L26" i="11"/>
  <c r="L24" i="11" s="1"/>
  <c r="M152" i="11"/>
  <c r="P152" i="11" s="1"/>
  <c r="L187" i="11"/>
  <c r="O187" i="11" s="1"/>
  <c r="M300" i="11"/>
  <c r="P300" i="11" s="1"/>
  <c r="M334" i="11"/>
  <c r="P334" i="11" s="1"/>
  <c r="M351" i="11"/>
  <c r="P351" i="11" s="1"/>
  <c r="K359" i="11"/>
  <c r="M395" i="11"/>
  <c r="P395" i="11" s="1"/>
  <c r="K460" i="11"/>
  <c r="O535" i="11"/>
  <c r="K673" i="11"/>
  <c r="N43" i="11"/>
  <c r="N41" i="11" s="1"/>
  <c r="L155" i="11"/>
  <c r="O155" i="11" s="1"/>
  <c r="I197" i="11"/>
  <c r="K197" i="11" s="1"/>
  <c r="P269" i="11"/>
  <c r="L447" i="6"/>
  <c r="O447" i="6" s="1"/>
  <c r="N47" i="11"/>
  <c r="O49" i="11"/>
  <c r="I77" i="11"/>
  <c r="K77" i="11" s="1"/>
  <c r="L121" i="11"/>
  <c r="L119" i="11" s="1"/>
  <c r="O119" i="11" s="1"/>
  <c r="L135" i="11"/>
  <c r="O135" i="11" s="1"/>
  <c r="L217" i="11"/>
  <c r="O217" i="11" s="1"/>
  <c r="L230" i="11"/>
  <c r="M263" i="11"/>
  <c r="L317" i="11"/>
  <c r="L315" i="11" s="1"/>
  <c r="O315" i="11" s="1"/>
  <c r="M347" i="11"/>
  <c r="O350" i="11"/>
  <c r="K355" i="11"/>
  <c r="J374" i="11"/>
  <c r="K374" i="11" s="1"/>
  <c r="M391" i="11"/>
  <c r="P407" i="11"/>
  <c r="O410" i="11"/>
  <c r="L447" i="11"/>
  <c r="O447" i="11" s="1"/>
  <c r="I628" i="11"/>
  <c r="K628" i="11" s="1"/>
  <c r="K669" i="11"/>
  <c r="L658" i="6"/>
  <c r="O658" i="6" s="1"/>
  <c r="L94" i="11"/>
  <c r="O94" i="11" s="1"/>
  <c r="L122" i="11"/>
  <c r="O122" i="11" s="1"/>
  <c r="M279" i="11"/>
  <c r="P279" i="11" s="1"/>
  <c r="P285" i="11"/>
  <c r="I443" i="11"/>
  <c r="K443" i="11" s="1"/>
  <c r="L657" i="11"/>
  <c r="O690" i="11"/>
  <c r="I130" i="10"/>
  <c r="K130" i="10" s="1"/>
  <c r="K338" i="10"/>
  <c r="M183" i="11"/>
  <c r="M181" i="11" s="1"/>
  <c r="N279" i="11"/>
  <c r="N277" i="11" s="1"/>
  <c r="P306" i="11"/>
  <c r="K372" i="11"/>
  <c r="I434" i="11"/>
  <c r="I418" i="11" s="1"/>
  <c r="K418" i="11" s="1"/>
  <c r="L525" i="11"/>
  <c r="O525" i="11" s="1"/>
  <c r="K647" i="11"/>
  <c r="K271" i="11"/>
  <c r="I260" i="11"/>
  <c r="K260" i="11" s="1"/>
  <c r="K309" i="11"/>
  <c r="I297" i="11"/>
  <c r="K297" i="11" s="1"/>
  <c r="O479" i="11"/>
  <c r="L477" i="11"/>
  <c r="O477" i="11" s="1"/>
  <c r="N90" i="6"/>
  <c r="N263" i="6"/>
  <c r="N261" i="6" s="1"/>
  <c r="L330" i="8"/>
  <c r="L328" i="8" s="1"/>
  <c r="L321" i="9"/>
  <c r="O321" i="9" s="1"/>
  <c r="L121" i="10"/>
  <c r="O121" i="10" s="1"/>
  <c r="L43" i="11"/>
  <c r="L41" i="11" s="1"/>
  <c r="O173" i="11"/>
  <c r="L167" i="11"/>
  <c r="L165" i="11" s="1"/>
  <c r="I208" i="11"/>
  <c r="K208" i="11" s="1"/>
  <c r="K215" i="11"/>
  <c r="J537" i="11"/>
  <c r="J522" i="11" s="1"/>
  <c r="K538" i="11"/>
  <c r="O303" i="9"/>
  <c r="M321" i="10"/>
  <c r="P321" i="10" s="1"/>
  <c r="L330" i="10"/>
  <c r="L328" i="10" s="1"/>
  <c r="L44" i="11"/>
  <c r="O44" i="11" s="1"/>
  <c r="L69" i="11"/>
  <c r="O69" i="11" s="1"/>
  <c r="N301" i="11"/>
  <c r="N300" i="11"/>
  <c r="N298" i="11" s="1"/>
  <c r="O71" i="10"/>
  <c r="L135" i="10"/>
  <c r="O135" i="10" s="1"/>
  <c r="L334" i="10"/>
  <c r="O334" i="10" s="1"/>
  <c r="M90" i="11"/>
  <c r="M88" i="11" s="1"/>
  <c r="P96" i="11"/>
  <c r="M94" i="11"/>
  <c r="P94" i="11" s="1"/>
  <c r="K288" i="11"/>
  <c r="J288" i="11"/>
  <c r="J275" i="11" s="1"/>
  <c r="I275" i="11"/>
  <c r="K275" i="11" s="1"/>
  <c r="I433" i="11"/>
  <c r="I417" i="11" s="1"/>
  <c r="K435" i="11"/>
  <c r="K362" i="10"/>
  <c r="L36" i="11"/>
  <c r="O36" i="11" s="1"/>
  <c r="P124" i="11"/>
  <c r="M122" i="11"/>
  <c r="P122" i="11" s="1"/>
  <c r="N135" i="11"/>
  <c r="N134" i="11"/>
  <c r="N132" i="11" s="1"/>
  <c r="M155" i="11"/>
  <c r="P155" i="11" s="1"/>
  <c r="O285" i="11"/>
  <c r="L279" i="11"/>
  <c r="L283" i="11"/>
  <c r="O283" i="11" s="1"/>
  <c r="O394" i="11"/>
  <c r="L391" i="11"/>
  <c r="O391" i="11" s="1"/>
  <c r="L392" i="11"/>
  <c r="O392" i="11" s="1"/>
  <c r="N405" i="11"/>
  <c r="N404" i="11"/>
  <c r="N402" i="11" s="1"/>
  <c r="O424" i="11"/>
  <c r="L421" i="11"/>
  <c r="O421" i="11" s="1"/>
  <c r="N121" i="11"/>
  <c r="N119" i="11" s="1"/>
  <c r="M134" i="11"/>
  <c r="P134" i="11" s="1"/>
  <c r="M187" i="11"/>
  <c r="P187" i="11" s="1"/>
  <c r="L209" i="11"/>
  <c r="O209" i="11" s="1"/>
  <c r="P266" i="11"/>
  <c r="O303" i="11"/>
  <c r="K370" i="11"/>
  <c r="O407" i="11"/>
  <c r="K674" i="11"/>
  <c r="L688" i="11"/>
  <c r="O688" i="11" s="1"/>
  <c r="K825" i="11"/>
  <c r="P303" i="11"/>
  <c r="N330" i="11"/>
  <c r="N328" i="11" s="1"/>
  <c r="L330" i="11"/>
  <c r="L328" i="11" s="1"/>
  <c r="J433" i="11"/>
  <c r="J417" i="11" s="1"/>
  <c r="K594" i="11"/>
  <c r="K86" i="11"/>
  <c r="L138" i="11"/>
  <c r="O138" i="11" s="1"/>
  <c r="K145" i="11"/>
  <c r="L152" i="11"/>
  <c r="O152" i="11" s="1"/>
  <c r="L23" i="11"/>
  <c r="K593" i="11"/>
  <c r="K823" i="11"/>
  <c r="M121" i="11"/>
  <c r="P121" i="11" s="1"/>
  <c r="P184" i="11"/>
  <c r="L249" i="11"/>
  <c r="O249" i="11" s="1"/>
  <c r="N331" i="11"/>
  <c r="P331" i="11" s="1"/>
  <c r="K365" i="11"/>
  <c r="N391" i="11"/>
  <c r="N389" i="11" s="1"/>
  <c r="L632" i="11"/>
  <c r="O632" i="11" s="1"/>
  <c r="K672" i="11"/>
  <c r="K821" i="11"/>
  <c r="K827" i="11"/>
  <c r="P9" i="11"/>
  <c r="O19" i="11"/>
  <c r="N12" i="11"/>
  <c r="K87" i="11"/>
  <c r="P133" i="11"/>
  <c r="P523" i="11"/>
  <c r="O738" i="11"/>
  <c r="L737" i="11"/>
  <c r="O737" i="11" s="1"/>
  <c r="K669" i="9"/>
  <c r="N135" i="10"/>
  <c r="L183" i="10"/>
  <c r="L181" i="10" s="1"/>
  <c r="L231" i="10"/>
  <c r="M280" i="10"/>
  <c r="P280" i="10" s="1"/>
  <c r="P15" i="11"/>
  <c r="N26" i="11"/>
  <c r="O29" i="11"/>
  <c r="N56" i="11"/>
  <c r="M69" i="11"/>
  <c r="P69" i="11" s="1"/>
  <c r="M68" i="11"/>
  <c r="L238" i="11"/>
  <c r="L9" i="11"/>
  <c r="O12" i="11"/>
  <c r="N19" i="11"/>
  <c r="P33" i="11"/>
  <c r="M44" i="11"/>
  <c r="P44" i="11" s="1"/>
  <c r="M23" i="11"/>
  <c r="P46" i="11"/>
  <c r="M43" i="11"/>
  <c r="P54" i="11"/>
  <c r="N68" i="11"/>
  <c r="N66" i="11" s="1"/>
  <c r="I76" i="11"/>
  <c r="K99" i="11"/>
  <c r="P278" i="11"/>
  <c r="M321" i="11"/>
  <c r="P321" i="11" s="1"/>
  <c r="P323" i="11"/>
  <c r="M317" i="11"/>
  <c r="P317" i="11" s="1"/>
  <c r="L331" i="8"/>
  <c r="L334" i="8"/>
  <c r="O334" i="8" s="1"/>
  <c r="L469" i="9"/>
  <c r="L467" i="9" s="1"/>
  <c r="O467" i="9" s="1"/>
  <c r="J537" i="9"/>
  <c r="J522" i="9" s="1"/>
  <c r="P44" i="10"/>
  <c r="L187" i="10"/>
  <c r="O187" i="10" s="1"/>
  <c r="L217" i="10"/>
  <c r="O217" i="10" s="1"/>
  <c r="N317" i="10"/>
  <c r="N315" i="10" s="1"/>
  <c r="K466" i="10"/>
  <c r="L687" i="10"/>
  <c r="L685" i="10" s="1"/>
  <c r="O685" i="10" s="1"/>
  <c r="K821" i="10"/>
  <c r="P25" i="11"/>
  <c r="M19" i="11"/>
  <c r="O93" i="11"/>
  <c r="L90" i="11"/>
  <c r="K111" i="11"/>
  <c r="N317" i="11"/>
  <c r="N315" i="11" s="1"/>
  <c r="O170" i="8"/>
  <c r="N280" i="9"/>
  <c r="L228" i="10"/>
  <c r="P397" i="10"/>
  <c r="L33" i="10"/>
  <c r="L31" i="10" s="1"/>
  <c r="O690" i="10"/>
  <c r="L15" i="11"/>
  <c r="N31" i="11"/>
  <c r="N29" i="11"/>
  <c r="N28" i="11" s="1"/>
  <c r="O186" i="11"/>
  <c r="L183" i="11"/>
  <c r="K255" i="11"/>
  <c r="I248" i="11"/>
  <c r="K248" i="11" s="1"/>
  <c r="M55" i="9"/>
  <c r="M53" i="9" s="1"/>
  <c r="M72" i="9"/>
  <c r="P72" i="9" s="1"/>
  <c r="L36" i="10"/>
  <c r="O36" i="10" s="1"/>
  <c r="L151" i="10"/>
  <c r="O151" i="10" s="1"/>
  <c r="O303" i="10"/>
  <c r="K355" i="10"/>
  <c r="K369" i="10"/>
  <c r="K372" i="10"/>
  <c r="O25" i="11"/>
  <c r="M47" i="11"/>
  <c r="P47" i="11" s="1"/>
  <c r="M26" i="11"/>
  <c r="P58" i="11"/>
  <c r="M55" i="11"/>
  <c r="N91" i="11"/>
  <c r="P93" i="11"/>
  <c r="N90" i="11"/>
  <c r="I131" i="11"/>
  <c r="K131" i="11" s="1"/>
  <c r="K143" i="11"/>
  <c r="N168" i="11"/>
  <c r="O168" i="11" s="1"/>
  <c r="P170" i="11"/>
  <c r="O170" i="11"/>
  <c r="N167" i="11"/>
  <c r="P32" i="11"/>
  <c r="M29" i="11"/>
  <c r="N23" i="11"/>
  <c r="I112" i="11"/>
  <c r="K112" i="11" s="1"/>
  <c r="P127" i="11"/>
  <c r="I233" i="11"/>
  <c r="K233" i="11" s="1"/>
  <c r="O397" i="11"/>
  <c r="L395" i="11"/>
  <c r="O395" i="11" s="1"/>
  <c r="L454" i="11"/>
  <c r="O454" i="11" s="1"/>
  <c r="O456" i="11"/>
  <c r="L446" i="11"/>
  <c r="O446" i="11" s="1"/>
  <c r="P545" i="11"/>
  <c r="M544" i="11"/>
  <c r="P544" i="11" s="1"/>
  <c r="L639" i="11"/>
  <c r="O639" i="11" s="1"/>
  <c r="O641" i="11"/>
  <c r="L631" i="11"/>
  <c r="O631" i="11" s="1"/>
  <c r="J143" i="11"/>
  <c r="J131" i="11" s="1"/>
  <c r="L151" i="11"/>
  <c r="N183" i="11"/>
  <c r="L334" i="11"/>
  <c r="O334" i="11" s="1"/>
  <c r="L348" i="11"/>
  <c r="L422" i="11"/>
  <c r="O422" i="11" s="1"/>
  <c r="L526" i="11"/>
  <c r="O526" i="11" s="1"/>
  <c r="O528" i="11"/>
  <c r="L33" i="11"/>
  <c r="L31" i="11" s="1"/>
  <c r="O35" i="11"/>
  <c r="O58" i="11"/>
  <c r="P74" i="11"/>
  <c r="K98" i="11"/>
  <c r="K144" i="11"/>
  <c r="M151" i="11"/>
  <c r="P151" i="11" s="1"/>
  <c r="P186" i="11"/>
  <c r="I190" i="11"/>
  <c r="K190" i="11" s="1"/>
  <c r="I237" i="11"/>
  <c r="P262" i="11"/>
  <c r="O353" i="11"/>
  <c r="L351" i="11"/>
  <c r="O351" i="11" s="1"/>
  <c r="O431" i="11"/>
  <c r="P299" i="11"/>
  <c r="M318" i="11"/>
  <c r="P318" i="11" s="1"/>
  <c r="P320" i="11"/>
  <c r="O333" i="11"/>
  <c r="L331" i="11"/>
  <c r="L347" i="11"/>
  <c r="P316" i="11"/>
  <c r="K338" i="11"/>
  <c r="J592" i="11"/>
  <c r="K592" i="11" s="1"/>
  <c r="O755" i="11"/>
  <c r="L754" i="11"/>
  <c r="O754" i="11" s="1"/>
  <c r="N807" i="11"/>
  <c r="N805" i="11" s="1"/>
  <c r="N808" i="11"/>
  <c r="O771" i="11"/>
  <c r="L770" i="11"/>
  <c r="O770" i="11" s="1"/>
  <c r="L789" i="11"/>
  <c r="O789" i="11" s="1"/>
  <c r="O791" i="11"/>
  <c r="N544" i="11"/>
  <c r="O320" i="11"/>
  <c r="O323" i="11"/>
  <c r="L469" i="11"/>
  <c r="I654" i="11"/>
  <c r="K654" i="11" s="1"/>
  <c r="L685" i="11"/>
  <c r="O685" i="11" s="1"/>
  <c r="M737" i="11"/>
  <c r="P737" i="11" s="1"/>
  <c r="M754" i="11"/>
  <c r="P754" i="11" s="1"/>
  <c r="M770" i="11"/>
  <c r="P770" i="11" s="1"/>
  <c r="L786" i="11"/>
  <c r="O786" i="11" s="1"/>
  <c r="L805" i="11"/>
  <c r="O805" i="11" s="1"/>
  <c r="K800" i="11"/>
  <c r="P127" i="10"/>
  <c r="M125" i="10"/>
  <c r="P125" i="10" s="1"/>
  <c r="K674" i="10"/>
  <c r="K675" i="10"/>
  <c r="I654" i="10"/>
  <c r="K654" i="10" s="1"/>
  <c r="K672" i="10"/>
  <c r="L90" i="8"/>
  <c r="L88" i="8" s="1"/>
  <c r="P69" i="9"/>
  <c r="L229" i="9"/>
  <c r="M318" i="9"/>
  <c r="P318" i="9" s="1"/>
  <c r="K385" i="9"/>
  <c r="L395" i="9"/>
  <c r="O395" i="9" s="1"/>
  <c r="M121" i="10"/>
  <c r="P121" i="10" s="1"/>
  <c r="M135" i="10"/>
  <c r="P135" i="10" s="1"/>
  <c r="P137" i="10"/>
  <c r="N168" i="10"/>
  <c r="N167" i="10"/>
  <c r="N165" i="10" s="1"/>
  <c r="P266" i="10"/>
  <c r="M264" i="10"/>
  <c r="P264" i="10" s="1"/>
  <c r="M263" i="10"/>
  <c r="P263" i="10" s="1"/>
  <c r="N405" i="10"/>
  <c r="N404" i="10"/>
  <c r="N402" i="10" s="1"/>
  <c r="L422" i="6"/>
  <c r="O422" i="6" s="1"/>
  <c r="P269" i="9"/>
  <c r="N26" i="10"/>
  <c r="N24" i="10" s="1"/>
  <c r="P154" i="10"/>
  <c r="M152" i="10"/>
  <c r="P152" i="10" s="1"/>
  <c r="L59" i="9"/>
  <c r="O59" i="9" s="1"/>
  <c r="N263" i="9"/>
  <c r="N261" i="9" s="1"/>
  <c r="M304" i="9"/>
  <c r="P304" i="9" s="1"/>
  <c r="M321" i="9"/>
  <c r="P321" i="9" s="1"/>
  <c r="L334" i="9"/>
  <c r="O334" i="9" s="1"/>
  <c r="P93" i="10"/>
  <c r="M91" i="10"/>
  <c r="N121" i="10"/>
  <c r="N119" i="10" s="1"/>
  <c r="I148" i="10"/>
  <c r="K148" i="10" s="1"/>
  <c r="K159" i="10"/>
  <c r="P140" i="8"/>
  <c r="L228" i="9"/>
  <c r="K338" i="9"/>
  <c r="N23" i="10"/>
  <c r="N13" i="10" s="1"/>
  <c r="L347" i="10"/>
  <c r="L345" i="10" s="1"/>
  <c r="N68" i="10"/>
  <c r="N66" i="10" s="1"/>
  <c r="M68" i="10"/>
  <c r="P71" i="10"/>
  <c r="K145" i="10"/>
  <c r="I143" i="10"/>
  <c r="L267" i="10"/>
  <c r="O267" i="10" s="1"/>
  <c r="O269" i="10"/>
  <c r="P306" i="10"/>
  <c r="M304" i="10"/>
  <c r="P304" i="10" s="1"/>
  <c r="L23" i="10"/>
  <c r="O137" i="10"/>
  <c r="M171" i="10"/>
  <c r="P171" i="10" s="1"/>
  <c r="O331" i="10"/>
  <c r="J327" i="10"/>
  <c r="K327" i="10" s="1"/>
  <c r="I434" i="10"/>
  <c r="I418" i="10" s="1"/>
  <c r="K418" i="10" s="1"/>
  <c r="O449" i="10"/>
  <c r="L525" i="10"/>
  <c r="O525" i="10" s="1"/>
  <c r="I559" i="10"/>
  <c r="I543" i="10" s="1"/>
  <c r="K543" i="10" s="1"/>
  <c r="L198" i="10"/>
  <c r="O198" i="10" s="1"/>
  <c r="L321" i="10"/>
  <c r="O321" i="10" s="1"/>
  <c r="O350" i="10"/>
  <c r="K360" i="10"/>
  <c r="I76" i="10"/>
  <c r="I64" i="10" s="1"/>
  <c r="K64" i="10" s="1"/>
  <c r="M267" i="10"/>
  <c r="P267" i="10" s="1"/>
  <c r="M90" i="10"/>
  <c r="M88" i="10" s="1"/>
  <c r="J143" i="10"/>
  <c r="J131" i="10" s="1"/>
  <c r="M183" i="10"/>
  <c r="M181" i="10" s="1"/>
  <c r="O333" i="10"/>
  <c r="K824" i="10"/>
  <c r="K827" i="10"/>
  <c r="P170" i="10"/>
  <c r="P331" i="10"/>
  <c r="K340" i="10"/>
  <c r="K378" i="10"/>
  <c r="K381" i="10"/>
  <c r="N151" i="10"/>
  <c r="N149" i="10" s="1"/>
  <c r="O184" i="10"/>
  <c r="L525" i="8"/>
  <c r="O525" i="8" s="1"/>
  <c r="K369" i="9"/>
  <c r="K378" i="9"/>
  <c r="M72" i="10"/>
  <c r="P72" i="10" s="1"/>
  <c r="N91" i="10"/>
  <c r="M122" i="10"/>
  <c r="P122" i="10" s="1"/>
  <c r="L138" i="10"/>
  <c r="O138" i="10" s="1"/>
  <c r="P184" i="10"/>
  <c r="K204" i="10"/>
  <c r="K215" i="10"/>
  <c r="I248" i="10"/>
  <c r="K248" i="10" s="1"/>
  <c r="L229" i="10"/>
  <c r="I314" i="10"/>
  <c r="K314" i="10" s="1"/>
  <c r="L317" i="10"/>
  <c r="O317" i="10" s="1"/>
  <c r="N330" i="10"/>
  <c r="N328" i="10" s="1"/>
  <c r="N348" i="10"/>
  <c r="O348" i="10" s="1"/>
  <c r="K385" i="10"/>
  <c r="L392" i="10"/>
  <c r="O392" i="10" s="1"/>
  <c r="M408" i="10"/>
  <c r="P408" i="10" s="1"/>
  <c r="K673" i="10"/>
  <c r="J721" i="10"/>
  <c r="K823" i="10"/>
  <c r="K355" i="7"/>
  <c r="P336" i="8"/>
  <c r="M347" i="8"/>
  <c r="M345" i="8" s="1"/>
  <c r="J143" i="9"/>
  <c r="J131" i="9" s="1"/>
  <c r="P336" i="9"/>
  <c r="K355" i="9"/>
  <c r="M408" i="9"/>
  <c r="P408" i="9" s="1"/>
  <c r="M94" i="10"/>
  <c r="P94" i="10" s="1"/>
  <c r="P96" i="10"/>
  <c r="P124" i="10"/>
  <c r="M167" i="10"/>
  <c r="M165" i="10" s="1"/>
  <c r="M187" i="10"/>
  <c r="P187" i="10" s="1"/>
  <c r="P189" i="10"/>
  <c r="L209" i="10"/>
  <c r="O209" i="10" s="1"/>
  <c r="I260" i="10"/>
  <c r="K260" i="10" s="1"/>
  <c r="L351" i="10"/>
  <c r="O351" i="10" s="1"/>
  <c r="J364" i="10"/>
  <c r="K370" i="10"/>
  <c r="O424" i="10"/>
  <c r="K669" i="10"/>
  <c r="I785" i="10"/>
  <c r="K785" i="10" s="1"/>
  <c r="M318" i="8"/>
  <c r="P318" i="8" s="1"/>
  <c r="L321" i="8"/>
  <c r="O321" i="8" s="1"/>
  <c r="P71" i="9"/>
  <c r="P170" i="9"/>
  <c r="L318" i="9"/>
  <c r="O318" i="9" s="1"/>
  <c r="P46" i="10"/>
  <c r="L238" i="10"/>
  <c r="O238" i="10" s="1"/>
  <c r="L391" i="10"/>
  <c r="O391" i="10" s="1"/>
  <c r="L469" i="10"/>
  <c r="O469" i="10" s="1"/>
  <c r="O266" i="8"/>
  <c r="L47" i="10"/>
  <c r="O47" i="10" s="1"/>
  <c r="O93" i="10"/>
  <c r="N263" i="10"/>
  <c r="N261" i="10" s="1"/>
  <c r="K287" i="10"/>
  <c r="L300" i="10"/>
  <c r="O300" i="10" s="1"/>
  <c r="L318" i="10"/>
  <c r="O318" i="10" s="1"/>
  <c r="M391" i="10"/>
  <c r="P391" i="10" s="1"/>
  <c r="L395" i="10"/>
  <c r="O395" i="10" s="1"/>
  <c r="L405" i="10"/>
  <c r="O405" i="10" s="1"/>
  <c r="I628" i="10"/>
  <c r="K628" i="10" s="1"/>
  <c r="L657" i="10"/>
  <c r="I77" i="9"/>
  <c r="K77" i="9" s="1"/>
  <c r="L134" i="9"/>
  <c r="L132" i="9" s="1"/>
  <c r="L68" i="10"/>
  <c r="L66" i="10" s="1"/>
  <c r="O66" i="10" s="1"/>
  <c r="M168" i="10"/>
  <c r="N183" i="10"/>
  <c r="P333" i="10"/>
  <c r="K374" i="10"/>
  <c r="N391" i="10"/>
  <c r="N389" i="10" s="1"/>
  <c r="K822" i="10"/>
  <c r="K828" i="10"/>
  <c r="P15" i="10"/>
  <c r="O19" i="10"/>
  <c r="L9" i="10"/>
  <c r="O15" i="10"/>
  <c r="L632" i="8"/>
  <c r="O632" i="8" s="1"/>
  <c r="M317" i="10"/>
  <c r="P320" i="10"/>
  <c r="M318" i="10"/>
  <c r="P318" i="10" s="1"/>
  <c r="O44" i="9"/>
  <c r="K309" i="9"/>
  <c r="L33" i="9"/>
  <c r="O33" i="9" s="1"/>
  <c r="L29" i="10"/>
  <c r="L44" i="10"/>
  <c r="O44" i="10" s="1"/>
  <c r="L72" i="10"/>
  <c r="O72" i="10" s="1"/>
  <c r="L90" i="10"/>
  <c r="L88" i="10" s="1"/>
  <c r="L94" i="10"/>
  <c r="O94" i="10" s="1"/>
  <c r="K115" i="10"/>
  <c r="I112" i="10"/>
  <c r="K112" i="10" s="1"/>
  <c r="M155" i="10"/>
  <c r="P155" i="10" s="1"/>
  <c r="P166" i="10"/>
  <c r="O788" i="10"/>
  <c r="L786" i="10"/>
  <c r="O786" i="10" s="1"/>
  <c r="O807" i="10"/>
  <c r="L805" i="10"/>
  <c r="O805" i="10" s="1"/>
  <c r="O58" i="8"/>
  <c r="I443" i="8"/>
  <c r="K443" i="8" s="1"/>
  <c r="L547" i="8"/>
  <c r="O547" i="8" s="1"/>
  <c r="L68" i="9"/>
  <c r="L66" i="9" s="1"/>
  <c r="P93" i="9"/>
  <c r="P140" i="9"/>
  <c r="M184" i="9"/>
  <c r="L187" i="9"/>
  <c r="O187" i="9" s="1"/>
  <c r="M280" i="9"/>
  <c r="P280" i="9" s="1"/>
  <c r="I628" i="9"/>
  <c r="K628" i="9" s="1"/>
  <c r="K822" i="9"/>
  <c r="K828" i="9"/>
  <c r="O22" i="10"/>
  <c r="M29" i="10"/>
  <c r="M31" i="10"/>
  <c r="P31" i="10" s="1"/>
  <c r="L43" i="10"/>
  <c r="N56" i="10"/>
  <c r="P56" i="10" s="1"/>
  <c r="P58" i="10"/>
  <c r="O61" i="10"/>
  <c r="I87" i="10"/>
  <c r="K87" i="10" s="1"/>
  <c r="N94" i="10"/>
  <c r="N90" i="10"/>
  <c r="M138" i="10"/>
  <c r="P138" i="10" s="1"/>
  <c r="M134" i="10"/>
  <c r="P140" i="10"/>
  <c r="N155" i="10"/>
  <c r="P285" i="10"/>
  <c r="M279" i="10"/>
  <c r="P739" i="10"/>
  <c r="M737" i="10"/>
  <c r="P737" i="10" s="1"/>
  <c r="O353" i="8"/>
  <c r="L125" i="9"/>
  <c r="O125" i="9" s="1"/>
  <c r="O351" i="9"/>
  <c r="P22" i="10"/>
  <c r="O25" i="10"/>
  <c r="N31" i="10"/>
  <c r="P35" i="10"/>
  <c r="O46" i="10"/>
  <c r="L55" i="10"/>
  <c r="O74" i="10"/>
  <c r="I77" i="10"/>
  <c r="O120" i="10"/>
  <c r="M151" i="10"/>
  <c r="P151" i="10" s="1"/>
  <c r="N300" i="10"/>
  <c r="N298" i="10" s="1"/>
  <c r="N304" i="10"/>
  <c r="M348" i="10"/>
  <c r="P350" i="10"/>
  <c r="M347" i="10"/>
  <c r="M345" i="10" s="1"/>
  <c r="P168" i="8"/>
  <c r="I130" i="9"/>
  <c r="K130" i="9" s="1"/>
  <c r="L263" i="9"/>
  <c r="P301" i="9"/>
  <c r="L304" i="9"/>
  <c r="O304" i="9" s="1"/>
  <c r="K675" i="9"/>
  <c r="K823" i="9"/>
  <c r="M12" i="10"/>
  <c r="P25" i="10"/>
  <c r="L26" i="10"/>
  <c r="M55" i="10"/>
  <c r="O58" i="10"/>
  <c r="K78" i="10"/>
  <c r="K81" i="10"/>
  <c r="L91" i="10"/>
  <c r="O170" i="10"/>
  <c r="L167" i="10"/>
  <c r="L168" i="10"/>
  <c r="P182" i="10"/>
  <c r="I190" i="10"/>
  <c r="K190" i="10" s="1"/>
  <c r="K193" i="10"/>
  <c r="K244" i="10"/>
  <c r="I237" i="10"/>
  <c r="I233" i="10"/>
  <c r="K233" i="10" s="1"/>
  <c r="L447" i="4"/>
  <c r="O447" i="4" s="1"/>
  <c r="L546" i="8"/>
  <c r="O546" i="8" s="1"/>
  <c r="P44" i="9"/>
  <c r="O170" i="9"/>
  <c r="I208" i="9"/>
  <c r="K208" i="9" s="1"/>
  <c r="I314" i="9"/>
  <c r="K314" i="9" s="1"/>
  <c r="L317" i="9"/>
  <c r="O317" i="9" s="1"/>
  <c r="K360" i="9"/>
  <c r="K365" i="9"/>
  <c r="N12" i="10"/>
  <c r="M19" i="10"/>
  <c r="M23" i="10"/>
  <c r="M26" i="10"/>
  <c r="M59" i="10"/>
  <c r="P59" i="10" s="1"/>
  <c r="O150" i="10"/>
  <c r="P120" i="10"/>
  <c r="L122" i="10"/>
  <c r="O122" i="10" s="1"/>
  <c r="O124" i="10"/>
  <c r="O133" i="10"/>
  <c r="P150" i="10"/>
  <c r="L152" i="10"/>
  <c r="O152" i="10" s="1"/>
  <c r="O154" i="10"/>
  <c r="I174" i="10"/>
  <c r="O186" i="10"/>
  <c r="L263" i="10"/>
  <c r="O266" i="10"/>
  <c r="L280" i="10"/>
  <c r="O280" i="10" s="1"/>
  <c r="O282" i="10"/>
  <c r="L279" i="10"/>
  <c r="O279" i="10" s="1"/>
  <c r="O285" i="10"/>
  <c r="P303" i="10"/>
  <c r="M300" i="10"/>
  <c r="P300" i="10" s="1"/>
  <c r="M301" i="10"/>
  <c r="P301" i="10" s="1"/>
  <c r="O390" i="10"/>
  <c r="O738" i="10"/>
  <c r="L737" i="10"/>
  <c r="O737" i="10" s="1"/>
  <c r="N770" i="10"/>
  <c r="L249" i="10"/>
  <c r="O249" i="10" s="1"/>
  <c r="M351" i="10"/>
  <c r="P351" i="10" s="1"/>
  <c r="P353" i="10"/>
  <c r="P390" i="10"/>
  <c r="O410" i="10"/>
  <c r="L404" i="10"/>
  <c r="N279" i="10"/>
  <c r="N277" i="10" s="1"/>
  <c r="N280" i="10"/>
  <c r="M334" i="10"/>
  <c r="P334" i="10" s="1"/>
  <c r="M330" i="10"/>
  <c r="N347" i="10"/>
  <c r="O353" i="10"/>
  <c r="P403" i="10"/>
  <c r="O445" i="10"/>
  <c r="L454" i="10"/>
  <c r="O454" i="10" s="1"/>
  <c r="O456" i="10"/>
  <c r="L446" i="10"/>
  <c r="O446" i="10" s="1"/>
  <c r="L125" i="10"/>
  <c r="O125" i="10" s="1"/>
  <c r="O127" i="10"/>
  <c r="L155" i="10"/>
  <c r="O155" i="10" s="1"/>
  <c r="O157" i="10"/>
  <c r="L171" i="10"/>
  <c r="O171" i="10" s="1"/>
  <c r="P186" i="10"/>
  <c r="O264" i="10"/>
  <c r="I275" i="10"/>
  <c r="K275" i="10" s="1"/>
  <c r="J288" i="10"/>
  <c r="J275" i="10" s="1"/>
  <c r="P299" i="10"/>
  <c r="L304" i="10"/>
  <c r="O304" i="10" s="1"/>
  <c r="O316" i="10"/>
  <c r="K359" i="10"/>
  <c r="I364" i="10"/>
  <c r="P394" i="10"/>
  <c r="M405" i="10"/>
  <c r="P405" i="10" s="1"/>
  <c r="L429" i="10"/>
  <c r="O429" i="10" s="1"/>
  <c r="O431" i="10"/>
  <c r="L421" i="10"/>
  <c r="K435" i="10"/>
  <c r="J433" i="10"/>
  <c r="J417" i="10" s="1"/>
  <c r="I443" i="10"/>
  <c r="K443" i="10" s="1"/>
  <c r="M444" i="10"/>
  <c r="P444" i="10" s="1"/>
  <c r="L639" i="10"/>
  <c r="O639" i="10" s="1"/>
  <c r="O641" i="10"/>
  <c r="L631" i="10"/>
  <c r="O631" i="10" s="1"/>
  <c r="P756" i="10"/>
  <c r="M754" i="10"/>
  <c r="P754" i="10" s="1"/>
  <c r="L789" i="10"/>
  <c r="O789" i="10" s="1"/>
  <c r="O791" i="10"/>
  <c r="O472" i="10"/>
  <c r="L470" i="10"/>
  <c r="O470" i="10" s="1"/>
  <c r="O755" i="10"/>
  <c r="L754" i="10"/>
  <c r="O754" i="10" s="1"/>
  <c r="N807" i="10"/>
  <c r="N808" i="10"/>
  <c r="M404" i="10"/>
  <c r="P404" i="10" s="1"/>
  <c r="M419" i="10"/>
  <c r="I433" i="10"/>
  <c r="P445" i="10"/>
  <c r="P469" i="10"/>
  <c r="N544" i="10"/>
  <c r="N414" i="10" s="1"/>
  <c r="P772" i="10"/>
  <c r="M770" i="10"/>
  <c r="P770" i="10" s="1"/>
  <c r="K379" i="10"/>
  <c r="L526" i="10"/>
  <c r="O526" i="10" s="1"/>
  <c r="O528" i="10"/>
  <c r="P545" i="10"/>
  <c r="M544" i="10"/>
  <c r="P544" i="10" s="1"/>
  <c r="O771" i="10"/>
  <c r="L770" i="10"/>
  <c r="O770" i="10" s="1"/>
  <c r="N805" i="10"/>
  <c r="N505" i="10"/>
  <c r="M523" i="10"/>
  <c r="P523" i="10" s="1"/>
  <c r="J537" i="10"/>
  <c r="J522" i="10" s="1"/>
  <c r="M685" i="10"/>
  <c r="P685" i="10" s="1"/>
  <c r="M786" i="10"/>
  <c r="P786" i="10" s="1"/>
  <c r="M805" i="10"/>
  <c r="P805" i="10" s="1"/>
  <c r="K537" i="10"/>
  <c r="L546" i="10"/>
  <c r="K593" i="10"/>
  <c r="O138" i="9"/>
  <c r="K271" i="7"/>
  <c r="I76" i="9"/>
  <c r="I64" i="9" s="1"/>
  <c r="K64" i="9" s="1"/>
  <c r="M138" i="9"/>
  <c r="P138" i="9" s="1"/>
  <c r="K145" i="9"/>
  <c r="L209" i="9"/>
  <c r="O209" i="9" s="1"/>
  <c r="K244" i="9"/>
  <c r="K287" i="9"/>
  <c r="L347" i="9"/>
  <c r="L345" i="9" s="1"/>
  <c r="K374" i="9"/>
  <c r="L36" i="9"/>
  <c r="O36" i="9" s="1"/>
  <c r="O535" i="9"/>
  <c r="I592" i="9"/>
  <c r="K592" i="9" s="1"/>
  <c r="K673" i="9"/>
  <c r="M55" i="6"/>
  <c r="M53" i="6" s="1"/>
  <c r="L134" i="6"/>
  <c r="L132" i="6" s="1"/>
  <c r="O132" i="6" s="1"/>
  <c r="M404" i="7"/>
  <c r="P404" i="7" s="1"/>
  <c r="K823" i="7"/>
  <c r="K826" i="7"/>
  <c r="K362" i="8"/>
  <c r="P46" i="9"/>
  <c r="L69" i="9"/>
  <c r="O69" i="9" s="1"/>
  <c r="O93" i="9"/>
  <c r="L151" i="9"/>
  <c r="O151" i="9" s="1"/>
  <c r="L155" i="9"/>
  <c r="O155" i="9" s="1"/>
  <c r="N167" i="9"/>
  <c r="N165" i="9" s="1"/>
  <c r="I174" i="9"/>
  <c r="K174" i="9" s="1"/>
  <c r="I260" i="9"/>
  <c r="K260" i="9" s="1"/>
  <c r="M263" i="9"/>
  <c r="P263" i="9" s="1"/>
  <c r="L301" i="9"/>
  <c r="O301" i="9" s="1"/>
  <c r="M300" i="9"/>
  <c r="M298" i="9" s="1"/>
  <c r="M317" i="9"/>
  <c r="M315" i="9" s="1"/>
  <c r="P315" i="9" s="1"/>
  <c r="P350" i="9"/>
  <c r="K372" i="9"/>
  <c r="P397" i="9"/>
  <c r="L422" i="9"/>
  <c r="I442" i="9"/>
  <c r="K442" i="9" s="1"/>
  <c r="L687" i="9"/>
  <c r="O687" i="9" s="1"/>
  <c r="O690" i="9"/>
  <c r="I143" i="9"/>
  <c r="I131" i="9" s="1"/>
  <c r="L168" i="9"/>
  <c r="O168" i="9" s="1"/>
  <c r="O353" i="9"/>
  <c r="N318" i="8"/>
  <c r="O58" i="9"/>
  <c r="M91" i="9"/>
  <c r="P91" i="9" s="1"/>
  <c r="L121" i="9"/>
  <c r="L135" i="9"/>
  <c r="O135" i="9" s="1"/>
  <c r="M134" i="9"/>
  <c r="M132" i="9" s="1"/>
  <c r="L198" i="9"/>
  <c r="O198" i="9" s="1"/>
  <c r="L230" i="9"/>
  <c r="K340" i="9"/>
  <c r="L391" i="9"/>
  <c r="I785" i="7"/>
  <c r="K785" i="7" s="1"/>
  <c r="M330" i="8"/>
  <c r="M328" i="8" s="1"/>
  <c r="O350" i="8"/>
  <c r="L43" i="9"/>
  <c r="L41" i="9" s="1"/>
  <c r="M94" i="9"/>
  <c r="P94" i="9" s="1"/>
  <c r="M121" i="9"/>
  <c r="P121" i="9" s="1"/>
  <c r="M135" i="9"/>
  <c r="P135" i="9" s="1"/>
  <c r="N134" i="9"/>
  <c r="N132" i="9" s="1"/>
  <c r="O140" i="9"/>
  <c r="O269" i="9"/>
  <c r="N317" i="9"/>
  <c r="N315" i="9" s="1"/>
  <c r="O348" i="9"/>
  <c r="I364" i="9"/>
  <c r="L392" i="9"/>
  <c r="O392" i="9" s="1"/>
  <c r="L405" i="9"/>
  <c r="O405" i="9" s="1"/>
  <c r="N404" i="9"/>
  <c r="N402" i="9" s="1"/>
  <c r="I654" i="9"/>
  <c r="K654" i="9" s="1"/>
  <c r="L657" i="9"/>
  <c r="O657" i="9" s="1"/>
  <c r="P184" i="8"/>
  <c r="J722" i="8"/>
  <c r="L23" i="9"/>
  <c r="M26" i="9"/>
  <c r="M16" i="9" s="1"/>
  <c r="L55" i="9"/>
  <c r="L53" i="9" s="1"/>
  <c r="K78" i="9"/>
  <c r="K81" i="9"/>
  <c r="L149" i="9"/>
  <c r="O149" i="9" s="1"/>
  <c r="L330" i="9"/>
  <c r="L328" i="9" s="1"/>
  <c r="K362" i="9"/>
  <c r="N408" i="9"/>
  <c r="K539" i="9"/>
  <c r="J721" i="9"/>
  <c r="L477" i="7"/>
  <c r="O477" i="7" s="1"/>
  <c r="P49" i="8"/>
  <c r="I314" i="8"/>
  <c r="K314" i="8" s="1"/>
  <c r="N55" i="9"/>
  <c r="L90" i="9"/>
  <c r="L88" i="9" s="1"/>
  <c r="L122" i="9"/>
  <c r="O122" i="9" s="1"/>
  <c r="L152" i="9"/>
  <c r="O152" i="9" s="1"/>
  <c r="K193" i="9"/>
  <c r="L231" i="9"/>
  <c r="L264" i="9"/>
  <c r="O264" i="9" s="1"/>
  <c r="M283" i="9"/>
  <c r="P283" i="9" s="1"/>
  <c r="M330" i="9"/>
  <c r="M328" i="9" s="1"/>
  <c r="O333" i="9"/>
  <c r="P348" i="9"/>
  <c r="K381" i="9"/>
  <c r="M404" i="9"/>
  <c r="P404" i="9" s="1"/>
  <c r="I434" i="9"/>
  <c r="L454" i="9"/>
  <c r="O454" i="9" s="1"/>
  <c r="M167" i="7"/>
  <c r="M165" i="7" s="1"/>
  <c r="N183" i="7"/>
  <c r="N181" i="7" s="1"/>
  <c r="O331" i="7"/>
  <c r="L33" i="8"/>
  <c r="O33" i="8" s="1"/>
  <c r="M43" i="9"/>
  <c r="M41" i="9" s="1"/>
  <c r="L56" i="9"/>
  <c r="M68" i="9"/>
  <c r="M66" i="9" s="1"/>
  <c r="M90" i="9"/>
  <c r="N90" i="9"/>
  <c r="N88" i="9" s="1"/>
  <c r="P124" i="9"/>
  <c r="P154" i="9"/>
  <c r="M171" i="9"/>
  <c r="P171" i="9" s="1"/>
  <c r="K800" i="9"/>
  <c r="K821" i="9"/>
  <c r="K824" i="9"/>
  <c r="K827" i="9"/>
  <c r="O59" i="8"/>
  <c r="L469" i="8"/>
  <c r="L467" i="8" s="1"/>
  <c r="O467" i="8" s="1"/>
  <c r="I197" i="9"/>
  <c r="K197" i="9" s="1"/>
  <c r="L217" i="9"/>
  <c r="O217" i="9" s="1"/>
  <c r="O266" i="9"/>
  <c r="M391" i="9"/>
  <c r="P391" i="9" s="1"/>
  <c r="O410" i="9"/>
  <c r="L408" i="9"/>
  <c r="O408" i="9" s="1"/>
  <c r="O93" i="8"/>
  <c r="K381" i="8"/>
  <c r="J537" i="8"/>
  <c r="J522" i="8" s="1"/>
  <c r="O91" i="9"/>
  <c r="L167" i="9"/>
  <c r="L165" i="9" s="1"/>
  <c r="J327" i="9"/>
  <c r="K327" i="9" s="1"/>
  <c r="K359" i="9"/>
  <c r="K370" i="9"/>
  <c r="M405" i="9"/>
  <c r="P405" i="9" s="1"/>
  <c r="K672" i="9"/>
  <c r="J722" i="9"/>
  <c r="K244" i="6"/>
  <c r="N264" i="6"/>
  <c r="O264" i="6" s="1"/>
  <c r="P331" i="6"/>
  <c r="I522" i="6"/>
  <c r="K522" i="6" s="1"/>
  <c r="M125" i="7"/>
  <c r="P125" i="7" s="1"/>
  <c r="L231" i="7"/>
  <c r="I297" i="7"/>
  <c r="K297" i="7" s="1"/>
  <c r="P61" i="8"/>
  <c r="I112" i="8"/>
  <c r="K112" i="8" s="1"/>
  <c r="I130" i="8"/>
  <c r="K130" i="8" s="1"/>
  <c r="P137" i="8"/>
  <c r="M183" i="8"/>
  <c r="M181" i="8" s="1"/>
  <c r="I276" i="8"/>
  <c r="K276" i="8" s="1"/>
  <c r="O282" i="8"/>
  <c r="M321" i="8"/>
  <c r="P321" i="8" s="1"/>
  <c r="K701" i="8"/>
  <c r="K822" i="8"/>
  <c r="K825" i="8"/>
  <c r="K828" i="8"/>
  <c r="P12" i="9"/>
  <c r="O46" i="9"/>
  <c r="O71" i="9"/>
  <c r="K98" i="9"/>
  <c r="O133" i="9"/>
  <c r="O166" i="9"/>
  <c r="O186" i="9"/>
  <c r="M168" i="7"/>
  <c r="L209" i="7"/>
  <c r="O209" i="7" s="1"/>
  <c r="L263" i="7"/>
  <c r="L261" i="7" s="1"/>
  <c r="L317" i="7"/>
  <c r="O317" i="7" s="1"/>
  <c r="K340" i="7"/>
  <c r="K725" i="7"/>
  <c r="K822" i="7"/>
  <c r="K825" i="7"/>
  <c r="K828" i="7"/>
  <c r="L263" i="8"/>
  <c r="L261" i="8" s="1"/>
  <c r="I592" i="8"/>
  <c r="K592" i="8" s="1"/>
  <c r="N12" i="9"/>
  <c r="N56" i="9"/>
  <c r="P58" i="9"/>
  <c r="M56" i="9"/>
  <c r="O96" i="9"/>
  <c r="L94" i="9"/>
  <c r="O94" i="9" s="1"/>
  <c r="K99" i="9"/>
  <c r="M155" i="9"/>
  <c r="P155" i="9" s="1"/>
  <c r="M151" i="9"/>
  <c r="P157" i="9"/>
  <c r="L55" i="8"/>
  <c r="L53" i="8" s="1"/>
  <c r="K360" i="8"/>
  <c r="K369" i="8"/>
  <c r="K372" i="8"/>
  <c r="M34" i="9"/>
  <c r="P34" i="9" s="1"/>
  <c r="M15" i="9"/>
  <c r="P35" i="9"/>
  <c r="N183" i="9"/>
  <c r="N184" i="9"/>
  <c r="L26" i="9"/>
  <c r="L24" i="9" s="1"/>
  <c r="O49" i="9"/>
  <c r="O89" i="9"/>
  <c r="M125" i="9"/>
  <c r="P125" i="9" s="1"/>
  <c r="P127" i="9"/>
  <c r="P137" i="9"/>
  <c r="M47" i="7"/>
  <c r="P47" i="7" s="1"/>
  <c r="L72" i="7"/>
  <c r="O72" i="7" s="1"/>
  <c r="K362" i="7"/>
  <c r="N56" i="8"/>
  <c r="O56" i="8" s="1"/>
  <c r="L91" i="8"/>
  <c r="O91" i="8" s="1"/>
  <c r="K145" i="8"/>
  <c r="N151" i="8"/>
  <c r="N149" i="8" s="1"/>
  <c r="L168" i="8"/>
  <c r="O168" i="8" s="1"/>
  <c r="L391" i="8"/>
  <c r="O391" i="8" s="1"/>
  <c r="L395" i="8"/>
  <c r="O395" i="8" s="1"/>
  <c r="K821" i="8"/>
  <c r="K824" i="8"/>
  <c r="K827" i="8"/>
  <c r="L15" i="9"/>
  <c r="M23" i="9"/>
  <c r="M29" i="9"/>
  <c r="O32" i="9"/>
  <c r="L47" i="9"/>
  <c r="O47" i="9" s="1"/>
  <c r="L72" i="9"/>
  <c r="O72" i="9" s="1"/>
  <c r="K86" i="9"/>
  <c r="L230" i="7"/>
  <c r="P74" i="8"/>
  <c r="O173" i="8"/>
  <c r="I275" i="8"/>
  <c r="K275" i="8" s="1"/>
  <c r="K365" i="8"/>
  <c r="O407" i="8"/>
  <c r="O410" i="8"/>
  <c r="L19" i="9"/>
  <c r="L12" i="9"/>
  <c r="N23" i="9"/>
  <c r="N31" i="9"/>
  <c r="N43" i="9"/>
  <c r="N47" i="9"/>
  <c r="N26" i="9"/>
  <c r="P61" i="9"/>
  <c r="M59" i="9"/>
  <c r="P59" i="9" s="1"/>
  <c r="N68" i="9"/>
  <c r="K115" i="9"/>
  <c r="I112" i="9"/>
  <c r="K112" i="9" s="1"/>
  <c r="N121" i="9"/>
  <c r="N119" i="9" s="1"/>
  <c r="N122" i="9"/>
  <c r="O137" i="9"/>
  <c r="N151" i="9"/>
  <c r="N149" i="9" s="1"/>
  <c r="M168" i="9"/>
  <c r="P168" i="9" s="1"/>
  <c r="L184" i="9"/>
  <c r="M187" i="9"/>
  <c r="P187" i="9" s="1"/>
  <c r="P262" i="9"/>
  <c r="M279" i="9"/>
  <c r="L300" i="9"/>
  <c r="O316" i="9"/>
  <c r="I417" i="9"/>
  <c r="O472" i="9"/>
  <c r="P739" i="9"/>
  <c r="M737" i="9"/>
  <c r="P737" i="9" s="1"/>
  <c r="L249" i="9"/>
  <c r="O249" i="9" s="1"/>
  <c r="M419" i="9"/>
  <c r="O424" i="9"/>
  <c r="N421" i="9"/>
  <c r="N419" i="9" s="1"/>
  <c r="M167" i="9"/>
  <c r="O173" i="9"/>
  <c r="L183" i="9"/>
  <c r="P186" i="9"/>
  <c r="L279" i="9"/>
  <c r="O282" i="9"/>
  <c r="N331" i="9"/>
  <c r="O331" i="9" s="1"/>
  <c r="O350" i="9"/>
  <c r="N347" i="9"/>
  <c r="J364" i="9"/>
  <c r="K379" i="9"/>
  <c r="N391" i="9"/>
  <c r="N389" i="9" s="1"/>
  <c r="P394" i="9"/>
  <c r="N422" i="9"/>
  <c r="L283" i="9"/>
  <c r="O283" i="9" s="1"/>
  <c r="O285" i="9"/>
  <c r="O431" i="9"/>
  <c r="L421" i="9"/>
  <c r="L526" i="9"/>
  <c r="O526" i="9" s="1"/>
  <c r="O528" i="9"/>
  <c r="L525" i="9"/>
  <c r="L639" i="9"/>
  <c r="O639" i="9" s="1"/>
  <c r="O641" i="9"/>
  <c r="L631" i="9"/>
  <c r="O755" i="9"/>
  <c r="L754" i="9"/>
  <c r="O754" i="9" s="1"/>
  <c r="I148" i="9"/>
  <c r="K148" i="9" s="1"/>
  <c r="I233" i="9"/>
  <c r="K233" i="9" s="1"/>
  <c r="L238" i="9"/>
  <c r="I248" i="9"/>
  <c r="P266" i="9"/>
  <c r="J288" i="9"/>
  <c r="J275" i="9" s="1"/>
  <c r="N300" i="9"/>
  <c r="N330" i="9"/>
  <c r="M347" i="9"/>
  <c r="K435" i="9"/>
  <c r="J433" i="9"/>
  <c r="J417" i="9" s="1"/>
  <c r="O456" i="9"/>
  <c r="L446" i="9"/>
  <c r="O468" i="9"/>
  <c r="N544" i="9"/>
  <c r="I543" i="9"/>
  <c r="K543" i="9" s="1"/>
  <c r="K559" i="9"/>
  <c r="P772" i="9"/>
  <c r="M770" i="9"/>
  <c r="P770" i="9" s="1"/>
  <c r="I275" i="9"/>
  <c r="K275" i="9" s="1"/>
  <c r="P333" i="9"/>
  <c r="M351" i="9"/>
  <c r="P351" i="9" s="1"/>
  <c r="P353" i="9"/>
  <c r="P390" i="9"/>
  <c r="L404" i="9"/>
  <c r="I443" i="9"/>
  <c r="K443" i="9" s="1"/>
  <c r="M444" i="9"/>
  <c r="P444" i="9" s="1"/>
  <c r="P445" i="9"/>
  <c r="P303" i="9"/>
  <c r="P504" i="9"/>
  <c r="P545" i="9"/>
  <c r="M544" i="9"/>
  <c r="P544" i="9" s="1"/>
  <c r="K577" i="9"/>
  <c r="P756" i="9"/>
  <c r="M754" i="9"/>
  <c r="P754" i="9" s="1"/>
  <c r="L789" i="9"/>
  <c r="O789" i="9" s="1"/>
  <c r="O791" i="9"/>
  <c r="O807" i="9"/>
  <c r="L805" i="9"/>
  <c r="O805" i="9" s="1"/>
  <c r="O771" i="9"/>
  <c r="L770" i="9"/>
  <c r="O770" i="9" s="1"/>
  <c r="N807" i="9"/>
  <c r="N805" i="9" s="1"/>
  <c r="N808" i="9"/>
  <c r="K576" i="9"/>
  <c r="O738" i="9"/>
  <c r="L737" i="9"/>
  <c r="O737" i="9" s="1"/>
  <c r="N770" i="9"/>
  <c r="L788" i="9"/>
  <c r="L470" i="9"/>
  <c r="O470" i="9" s="1"/>
  <c r="N688" i="9"/>
  <c r="L555" i="9"/>
  <c r="O555" i="9" s="1"/>
  <c r="L658" i="9"/>
  <c r="O658" i="9" s="1"/>
  <c r="M786" i="9"/>
  <c r="P786" i="9" s="1"/>
  <c r="L546" i="9"/>
  <c r="N151" i="7"/>
  <c r="N149" i="7" s="1"/>
  <c r="L94" i="8"/>
  <c r="O94" i="8" s="1"/>
  <c r="L138" i="8"/>
  <c r="O138" i="8" s="1"/>
  <c r="L167" i="8"/>
  <c r="L165" i="8" s="1"/>
  <c r="N264" i="8"/>
  <c r="O264" i="8" s="1"/>
  <c r="L267" i="8"/>
  <c r="O267" i="8" s="1"/>
  <c r="M317" i="8"/>
  <c r="M315" i="8" s="1"/>
  <c r="P315" i="8" s="1"/>
  <c r="N348" i="8"/>
  <c r="O348" i="8" s="1"/>
  <c r="K355" i="8"/>
  <c r="M408" i="8"/>
  <c r="P408" i="8" s="1"/>
  <c r="O660" i="8"/>
  <c r="I785" i="8"/>
  <c r="K785" i="8" s="1"/>
  <c r="P74" i="7"/>
  <c r="M94" i="8"/>
  <c r="P94" i="8" s="1"/>
  <c r="I148" i="8"/>
  <c r="K148" i="8" s="1"/>
  <c r="L152" i="8"/>
  <c r="O152" i="8" s="1"/>
  <c r="L198" i="8"/>
  <c r="O198" i="8" s="1"/>
  <c r="K224" i="8"/>
  <c r="N279" i="8"/>
  <c r="N277" i="8" s="1"/>
  <c r="L317" i="8"/>
  <c r="O317" i="8" s="1"/>
  <c r="O269" i="8"/>
  <c r="L301" i="8"/>
  <c r="O301" i="8" s="1"/>
  <c r="M90" i="8"/>
  <c r="M88" i="8" s="1"/>
  <c r="I233" i="8"/>
  <c r="K233" i="8" s="1"/>
  <c r="L347" i="8"/>
  <c r="L345" i="8" s="1"/>
  <c r="L36" i="8"/>
  <c r="O36" i="8" s="1"/>
  <c r="K374" i="6"/>
  <c r="P58" i="7"/>
  <c r="K381" i="7"/>
  <c r="N26" i="8"/>
  <c r="N16" i="8" s="1"/>
  <c r="L69" i="8"/>
  <c r="O69" i="8" s="1"/>
  <c r="I87" i="8"/>
  <c r="K87" i="8" s="1"/>
  <c r="O124" i="8"/>
  <c r="N121" i="8"/>
  <c r="N119" i="8" s="1"/>
  <c r="N134" i="8"/>
  <c r="N132" i="8" s="1"/>
  <c r="I190" i="8"/>
  <c r="K190" i="8" s="1"/>
  <c r="K215" i="8"/>
  <c r="K338" i="8"/>
  <c r="K823" i="8"/>
  <c r="K826" i="8"/>
  <c r="N47" i="8"/>
  <c r="M91" i="8"/>
  <c r="P91" i="8" s="1"/>
  <c r="M134" i="5"/>
  <c r="M132" i="5" s="1"/>
  <c r="M317" i="6"/>
  <c r="P317" i="6" s="1"/>
  <c r="L217" i="7"/>
  <c r="O217" i="7" s="1"/>
  <c r="L300" i="7"/>
  <c r="O300" i="7" s="1"/>
  <c r="N317" i="7"/>
  <c r="N315" i="7" s="1"/>
  <c r="L125" i="8"/>
  <c r="O125" i="8" s="1"/>
  <c r="L135" i="8"/>
  <c r="O135" i="8" s="1"/>
  <c r="L151" i="8"/>
  <c r="O151" i="8" s="1"/>
  <c r="O157" i="8"/>
  <c r="N183" i="8"/>
  <c r="N181" i="8" s="1"/>
  <c r="O186" i="8"/>
  <c r="I197" i="8"/>
  <c r="K197" i="8" s="1"/>
  <c r="L231" i="8"/>
  <c r="P269" i="8"/>
  <c r="N351" i="8"/>
  <c r="O351" i="8" s="1"/>
  <c r="M405" i="8"/>
  <c r="P405" i="8" s="1"/>
  <c r="I433" i="8"/>
  <c r="I417" i="8" s="1"/>
  <c r="K538" i="8"/>
  <c r="L655" i="8"/>
  <c r="O655" i="8" s="1"/>
  <c r="K673" i="8"/>
  <c r="L94" i="7"/>
  <c r="O94" i="7" s="1"/>
  <c r="N90" i="7"/>
  <c r="N88" i="7" s="1"/>
  <c r="J143" i="7"/>
  <c r="J131" i="7" s="1"/>
  <c r="L43" i="8"/>
  <c r="O46" i="8"/>
  <c r="N55" i="8"/>
  <c r="N53" i="8" s="1"/>
  <c r="L68" i="8"/>
  <c r="I86" i="8"/>
  <c r="K86" i="8" s="1"/>
  <c r="K115" i="8"/>
  <c r="M167" i="8"/>
  <c r="M165" i="8" s="1"/>
  <c r="P170" i="8"/>
  <c r="O184" i="8"/>
  <c r="K255" i="8"/>
  <c r="N263" i="8"/>
  <c r="P285" i="8"/>
  <c r="M391" i="8"/>
  <c r="P391" i="8" s="1"/>
  <c r="I434" i="8"/>
  <c r="I418" i="8" s="1"/>
  <c r="K418" i="8" s="1"/>
  <c r="I442" i="8"/>
  <c r="K442" i="8" s="1"/>
  <c r="I628" i="8"/>
  <c r="K628" i="8" s="1"/>
  <c r="K669" i="8"/>
  <c r="L687" i="8"/>
  <c r="L685" i="8" s="1"/>
  <c r="O685" i="8" s="1"/>
  <c r="L422" i="7"/>
  <c r="O422" i="7" s="1"/>
  <c r="N43" i="8"/>
  <c r="N41" i="8" s="1"/>
  <c r="N68" i="8"/>
  <c r="N66" i="8" s="1"/>
  <c r="L121" i="8"/>
  <c r="O121" i="8" s="1"/>
  <c r="L228" i="8"/>
  <c r="N300" i="8"/>
  <c r="N298" i="8" s="1"/>
  <c r="I364" i="8"/>
  <c r="K385" i="8"/>
  <c r="N391" i="8"/>
  <c r="N389" i="8" s="1"/>
  <c r="L404" i="8"/>
  <c r="O535" i="8"/>
  <c r="O690" i="8"/>
  <c r="M171" i="8"/>
  <c r="P171" i="8" s="1"/>
  <c r="L43" i="6"/>
  <c r="L41" i="6" s="1"/>
  <c r="O44" i="8"/>
  <c r="L134" i="8"/>
  <c r="O134" i="8" s="1"/>
  <c r="L217" i="8"/>
  <c r="O217" i="8" s="1"/>
  <c r="L249" i="8"/>
  <c r="O249" i="8" s="1"/>
  <c r="M404" i="8"/>
  <c r="J721" i="8"/>
  <c r="K672" i="8"/>
  <c r="O394" i="6"/>
  <c r="N167" i="7"/>
  <c r="N165" i="7" s="1"/>
  <c r="L23" i="8"/>
  <c r="M26" i="8"/>
  <c r="M16" i="8" s="1"/>
  <c r="L47" i="8"/>
  <c r="O47" i="8" s="1"/>
  <c r="O61" i="8"/>
  <c r="L72" i="8"/>
  <c r="O72" i="8" s="1"/>
  <c r="M134" i="8"/>
  <c r="P134" i="8" s="1"/>
  <c r="K176" i="8"/>
  <c r="M187" i="8"/>
  <c r="P187" i="8" s="1"/>
  <c r="L209" i="8"/>
  <c r="O209" i="8" s="1"/>
  <c r="L229" i="8"/>
  <c r="I260" i="8"/>
  <c r="K260" i="8" s="1"/>
  <c r="M301" i="8"/>
  <c r="P301" i="8" s="1"/>
  <c r="J327" i="8"/>
  <c r="K327" i="8" s="1"/>
  <c r="P350" i="8"/>
  <c r="L392" i="8"/>
  <c r="O392" i="8" s="1"/>
  <c r="N404" i="8"/>
  <c r="N402" i="8" s="1"/>
  <c r="I654" i="8"/>
  <c r="K654" i="8" s="1"/>
  <c r="M152" i="8"/>
  <c r="P152" i="8" s="1"/>
  <c r="P154" i="8"/>
  <c r="M151" i="8"/>
  <c r="P151" i="8" s="1"/>
  <c r="M279" i="8"/>
  <c r="P279" i="8" s="1"/>
  <c r="P282" i="8"/>
  <c r="L167" i="5"/>
  <c r="L165" i="5" s="1"/>
  <c r="L533" i="6"/>
  <c r="O533" i="6" s="1"/>
  <c r="O660" i="6"/>
  <c r="O49" i="7"/>
  <c r="L47" i="7"/>
  <c r="O47" i="7" s="1"/>
  <c r="L55" i="7"/>
  <c r="L53" i="7" s="1"/>
  <c r="N55" i="7"/>
  <c r="N53" i="7" s="1"/>
  <c r="N56" i="7"/>
  <c r="O56" i="7" s="1"/>
  <c r="N168" i="7"/>
  <c r="O168" i="7" s="1"/>
  <c r="N29" i="8"/>
  <c r="N28" i="8" s="1"/>
  <c r="N31" i="8"/>
  <c r="O35" i="8"/>
  <c r="M56" i="8"/>
  <c r="M55" i="8"/>
  <c r="P58" i="8"/>
  <c r="M122" i="8"/>
  <c r="P122" i="8" s="1"/>
  <c r="P124" i="8"/>
  <c r="M121" i="8"/>
  <c r="P121" i="8" s="1"/>
  <c r="L238" i="8"/>
  <c r="M280" i="8"/>
  <c r="P280" i="8" s="1"/>
  <c r="O299" i="8"/>
  <c r="N15" i="8"/>
  <c r="I131" i="8"/>
  <c r="K131" i="8" s="1"/>
  <c r="K143" i="8"/>
  <c r="M334" i="6"/>
  <c r="P334" i="6" s="1"/>
  <c r="M56" i="7"/>
  <c r="P56" i="7" s="1"/>
  <c r="O660" i="7"/>
  <c r="L657" i="7"/>
  <c r="L655" i="7" s="1"/>
  <c r="O655" i="7" s="1"/>
  <c r="M44" i="8"/>
  <c r="P44" i="8" s="1"/>
  <c r="M43" i="8"/>
  <c r="P46" i="8"/>
  <c r="M23" i="8"/>
  <c r="M21" i="8" s="1"/>
  <c r="I76" i="8"/>
  <c r="K174" i="8"/>
  <c r="I164" i="8"/>
  <c r="K164" i="8" s="1"/>
  <c r="O189" i="8"/>
  <c r="L26" i="8"/>
  <c r="M264" i="8"/>
  <c r="P264" i="8" s="1"/>
  <c r="M263" i="8"/>
  <c r="P263" i="8" s="1"/>
  <c r="P266" i="8"/>
  <c r="K215" i="4"/>
  <c r="O71" i="7"/>
  <c r="L69" i="7"/>
  <c r="O69" i="7" s="1"/>
  <c r="L155" i="7"/>
  <c r="O155" i="7" s="1"/>
  <c r="O157" i="7"/>
  <c r="K651" i="7"/>
  <c r="I628" i="7"/>
  <c r="K628" i="7" s="1"/>
  <c r="M69" i="8"/>
  <c r="P69" i="8" s="1"/>
  <c r="M68" i="8"/>
  <c r="P68" i="8" s="1"/>
  <c r="P71" i="8"/>
  <c r="L152" i="7"/>
  <c r="O152" i="7" s="1"/>
  <c r="L151" i="7"/>
  <c r="L149" i="7" s="1"/>
  <c r="O149" i="7" s="1"/>
  <c r="I208" i="7"/>
  <c r="K208" i="7" s="1"/>
  <c r="K215" i="7"/>
  <c r="P419" i="8"/>
  <c r="L55" i="6"/>
  <c r="L53" i="6" s="1"/>
  <c r="N121" i="6"/>
  <c r="N119" i="6" s="1"/>
  <c r="I275" i="6"/>
  <c r="K275" i="6" s="1"/>
  <c r="K435" i="6"/>
  <c r="O306" i="8"/>
  <c r="L304" i="8"/>
  <c r="O304" i="8" s="1"/>
  <c r="N331" i="8"/>
  <c r="O333" i="8"/>
  <c r="N330" i="8"/>
  <c r="N328" i="8" s="1"/>
  <c r="N23" i="8"/>
  <c r="P333" i="8"/>
  <c r="K826" i="6"/>
  <c r="N43" i="7"/>
  <c r="N41" i="7" s="1"/>
  <c r="I276" i="7"/>
  <c r="K276" i="7" s="1"/>
  <c r="O285" i="7"/>
  <c r="K369" i="7"/>
  <c r="K372" i="7"/>
  <c r="N391" i="7"/>
  <c r="N389" i="7" s="1"/>
  <c r="K700" i="7"/>
  <c r="J722" i="7"/>
  <c r="K722" i="7" s="1"/>
  <c r="L15" i="8"/>
  <c r="L29" i="8"/>
  <c r="M30" i="8"/>
  <c r="P30" i="8" s="1"/>
  <c r="N90" i="8"/>
  <c r="P127" i="8"/>
  <c r="P157" i="8"/>
  <c r="P306" i="8"/>
  <c r="M300" i="8"/>
  <c r="K340" i="8"/>
  <c r="K374" i="8"/>
  <c r="L228" i="7"/>
  <c r="J537" i="7"/>
  <c r="J522" i="7" s="1"/>
  <c r="O316" i="8"/>
  <c r="L330" i="7"/>
  <c r="P59" i="8"/>
  <c r="I77" i="8"/>
  <c r="K100" i="8"/>
  <c r="K144" i="8"/>
  <c r="J143" i="8"/>
  <c r="J131" i="8" s="1"/>
  <c r="N167" i="8"/>
  <c r="P186" i="8"/>
  <c r="I237" i="8"/>
  <c r="L279" i="8"/>
  <c r="J288" i="8"/>
  <c r="J275" i="8" s="1"/>
  <c r="I297" i="8"/>
  <c r="K297" i="8" s="1"/>
  <c r="K309" i="8"/>
  <c r="N347" i="7"/>
  <c r="N345" i="7" s="1"/>
  <c r="P93" i="8"/>
  <c r="L183" i="8"/>
  <c r="L300" i="8"/>
  <c r="O300" i="8" s="1"/>
  <c r="L198" i="7"/>
  <c r="O198" i="7" s="1"/>
  <c r="N330" i="7"/>
  <c r="N328" i="7" s="1"/>
  <c r="K728" i="7"/>
  <c r="M12" i="8"/>
  <c r="M19" i="8"/>
  <c r="O320" i="8"/>
  <c r="O346" i="8"/>
  <c r="M351" i="8"/>
  <c r="P353" i="8"/>
  <c r="K379" i="8"/>
  <c r="L526" i="8"/>
  <c r="O526" i="8" s="1"/>
  <c r="O528" i="8"/>
  <c r="L789" i="8"/>
  <c r="O789" i="8" s="1"/>
  <c r="O791" i="8"/>
  <c r="O807" i="8"/>
  <c r="L805" i="8"/>
  <c r="O805" i="8" s="1"/>
  <c r="L639" i="8"/>
  <c r="O639" i="8" s="1"/>
  <c r="O641" i="8"/>
  <c r="L631" i="8"/>
  <c r="O631" i="8" s="1"/>
  <c r="P739" i="8"/>
  <c r="M737" i="8"/>
  <c r="P737" i="8" s="1"/>
  <c r="P756" i="8"/>
  <c r="M754" i="8"/>
  <c r="P754" i="8" s="1"/>
  <c r="P772" i="8"/>
  <c r="M770" i="8"/>
  <c r="P770" i="8" s="1"/>
  <c r="L429" i="8"/>
  <c r="O429" i="8" s="1"/>
  <c r="O431" i="8"/>
  <c r="L421" i="8"/>
  <c r="L454" i="8"/>
  <c r="O454" i="8" s="1"/>
  <c r="O456" i="8"/>
  <c r="L446" i="8"/>
  <c r="N544" i="8"/>
  <c r="O738" i="8"/>
  <c r="L737" i="8"/>
  <c r="O737" i="8" s="1"/>
  <c r="O755" i="8"/>
  <c r="L754" i="8"/>
  <c r="O754" i="8" s="1"/>
  <c r="O771" i="8"/>
  <c r="L770" i="8"/>
  <c r="O770" i="8" s="1"/>
  <c r="N807" i="8"/>
  <c r="N805" i="8" s="1"/>
  <c r="N808" i="8"/>
  <c r="O285" i="8"/>
  <c r="N347" i="8"/>
  <c r="K359" i="8"/>
  <c r="J364" i="8"/>
  <c r="I543" i="8"/>
  <c r="K543" i="8" s="1"/>
  <c r="K577" i="8"/>
  <c r="K370" i="8"/>
  <c r="K378" i="8"/>
  <c r="P545" i="8"/>
  <c r="M544" i="8"/>
  <c r="P544" i="8" s="1"/>
  <c r="K576" i="8"/>
  <c r="J559" i="8"/>
  <c r="J543" i="8" s="1"/>
  <c r="O788" i="8"/>
  <c r="L786" i="8"/>
  <c r="O786" i="8" s="1"/>
  <c r="M392" i="8"/>
  <c r="P392" i="8" s="1"/>
  <c r="M395" i="8"/>
  <c r="P395" i="8" s="1"/>
  <c r="L470" i="8"/>
  <c r="O470" i="8" s="1"/>
  <c r="K674" i="8"/>
  <c r="N688" i="8"/>
  <c r="O688" i="8" s="1"/>
  <c r="N505" i="8"/>
  <c r="J433" i="8"/>
  <c r="J417" i="8" s="1"/>
  <c r="J721" i="5"/>
  <c r="M68" i="6"/>
  <c r="P68" i="6" s="1"/>
  <c r="L230" i="6"/>
  <c r="L304" i="6"/>
  <c r="O304" i="6" s="1"/>
  <c r="N404" i="6"/>
  <c r="N402" i="6" s="1"/>
  <c r="K822" i="6"/>
  <c r="K828" i="6"/>
  <c r="O46" i="7"/>
  <c r="M135" i="7"/>
  <c r="P135" i="7" s="1"/>
  <c r="K146" i="7"/>
  <c r="N152" i="7"/>
  <c r="M155" i="7"/>
  <c r="P155" i="7" s="1"/>
  <c r="P170" i="7"/>
  <c r="L238" i="7"/>
  <c r="O238" i="7" s="1"/>
  <c r="L279" i="7"/>
  <c r="O279" i="7" s="1"/>
  <c r="O535" i="7"/>
  <c r="L687" i="7"/>
  <c r="L685" i="7" s="1"/>
  <c r="O685" i="7" s="1"/>
  <c r="O688" i="7"/>
  <c r="O44" i="7"/>
  <c r="P46" i="7"/>
  <c r="L138" i="7"/>
  <c r="O138" i="7" s="1"/>
  <c r="L171" i="7"/>
  <c r="O171" i="7" s="1"/>
  <c r="L334" i="7"/>
  <c r="O334" i="7" s="1"/>
  <c r="M408" i="7"/>
  <c r="P408" i="7" s="1"/>
  <c r="K460" i="7"/>
  <c r="O690" i="7"/>
  <c r="O348" i="7"/>
  <c r="L167" i="6"/>
  <c r="L165" i="6" s="1"/>
  <c r="M183" i="6"/>
  <c r="M181" i="6" s="1"/>
  <c r="M347" i="6"/>
  <c r="M345" i="6" s="1"/>
  <c r="P44" i="7"/>
  <c r="N68" i="7"/>
  <c r="N66" i="7" s="1"/>
  <c r="M138" i="7"/>
  <c r="P138" i="7" s="1"/>
  <c r="N334" i="7"/>
  <c r="O336" i="7"/>
  <c r="K672" i="7"/>
  <c r="N47" i="7"/>
  <c r="L347" i="7"/>
  <c r="L345" i="7" s="1"/>
  <c r="I148" i="6"/>
  <c r="K148" i="6" s="1"/>
  <c r="L655" i="6"/>
  <c r="P282" i="7"/>
  <c r="K288" i="7"/>
  <c r="M300" i="7"/>
  <c r="M304" i="7"/>
  <c r="P304" i="7" s="1"/>
  <c r="O449" i="7"/>
  <c r="L36" i="7"/>
  <c r="O36" i="7" s="1"/>
  <c r="K723" i="7"/>
  <c r="L547" i="7"/>
  <c r="O547" i="7" s="1"/>
  <c r="I314" i="6"/>
  <c r="K314" i="6" s="1"/>
  <c r="O336" i="6"/>
  <c r="N26" i="7"/>
  <c r="M151" i="7"/>
  <c r="P151" i="7" s="1"/>
  <c r="P323" i="7"/>
  <c r="N392" i="7"/>
  <c r="L395" i="7"/>
  <c r="O395" i="7" s="1"/>
  <c r="I654" i="7"/>
  <c r="K654" i="7" s="1"/>
  <c r="N121" i="5"/>
  <c r="N119" i="5" s="1"/>
  <c r="L687" i="5"/>
  <c r="O687" i="5" s="1"/>
  <c r="L183" i="6"/>
  <c r="L181" i="6" s="1"/>
  <c r="L279" i="6"/>
  <c r="O279" i="6" s="1"/>
  <c r="M300" i="6"/>
  <c r="N347" i="6"/>
  <c r="N345" i="6" s="1"/>
  <c r="O61" i="7"/>
  <c r="M69" i="7"/>
  <c r="P69" i="7" s="1"/>
  <c r="M122" i="7"/>
  <c r="P122" i="7" s="1"/>
  <c r="K145" i="7"/>
  <c r="O154" i="7"/>
  <c r="K159" i="7"/>
  <c r="M171" i="7"/>
  <c r="P171" i="7" s="1"/>
  <c r="N184" i="7"/>
  <c r="O184" i="7" s="1"/>
  <c r="L187" i="7"/>
  <c r="O187" i="7" s="1"/>
  <c r="K204" i="7"/>
  <c r="I233" i="7"/>
  <c r="K233" i="7" s="1"/>
  <c r="O264" i="7"/>
  <c r="I275" i="7"/>
  <c r="K275" i="7" s="1"/>
  <c r="L280" i="7"/>
  <c r="O280" i="7" s="1"/>
  <c r="L301" i="7"/>
  <c r="O301" i="7" s="1"/>
  <c r="K325" i="7"/>
  <c r="K338" i="7"/>
  <c r="O350" i="7"/>
  <c r="K359" i="7"/>
  <c r="M405" i="7"/>
  <c r="P405" i="7" s="1"/>
  <c r="P407" i="7"/>
  <c r="I434" i="7"/>
  <c r="L469" i="7"/>
  <c r="O469" i="7" s="1"/>
  <c r="K539" i="7"/>
  <c r="K673" i="7"/>
  <c r="O124" i="6"/>
  <c r="J288" i="6"/>
  <c r="J275" i="6" s="1"/>
  <c r="K378" i="6"/>
  <c r="K381" i="6"/>
  <c r="K649" i="6"/>
  <c r="L33" i="7"/>
  <c r="L90" i="7"/>
  <c r="N134" i="7"/>
  <c r="N132" i="7" s="1"/>
  <c r="M134" i="7"/>
  <c r="I143" i="7"/>
  <c r="O170" i="7"/>
  <c r="I190" i="7"/>
  <c r="K190" i="7" s="1"/>
  <c r="N279" i="7"/>
  <c r="N277" i="7" s="1"/>
  <c r="M301" i="7"/>
  <c r="P301" i="7" s="1"/>
  <c r="O320" i="7"/>
  <c r="L351" i="7"/>
  <c r="O351" i="7" s="1"/>
  <c r="O353" i="7"/>
  <c r="K374" i="7"/>
  <c r="L391" i="7"/>
  <c r="K669" i="7"/>
  <c r="I77" i="6"/>
  <c r="I65" i="6" s="1"/>
  <c r="K65" i="6" s="1"/>
  <c r="O189" i="6"/>
  <c r="M330" i="6"/>
  <c r="M328" i="6" s="1"/>
  <c r="M43" i="7"/>
  <c r="M41" i="7" s="1"/>
  <c r="M68" i="7"/>
  <c r="O282" i="7"/>
  <c r="O303" i="7"/>
  <c r="O127" i="5"/>
  <c r="K823" i="5"/>
  <c r="L231" i="6"/>
  <c r="J721" i="6"/>
  <c r="O91" i="7"/>
  <c r="I112" i="7"/>
  <c r="K112" i="7" s="1"/>
  <c r="I248" i="7"/>
  <c r="K248" i="7" s="1"/>
  <c r="K260" i="7"/>
  <c r="O269" i="7"/>
  <c r="O323" i="7"/>
  <c r="O333" i="7"/>
  <c r="J364" i="7"/>
  <c r="L392" i="7"/>
  <c r="O392" i="7" s="1"/>
  <c r="K726" i="7"/>
  <c r="K359" i="6"/>
  <c r="L26" i="7"/>
  <c r="L23" i="7"/>
  <c r="L21" i="7" s="1"/>
  <c r="M121" i="7"/>
  <c r="P186" i="7"/>
  <c r="K370" i="7"/>
  <c r="K378" i="7"/>
  <c r="N404" i="7"/>
  <c r="N402" i="7" s="1"/>
  <c r="K821" i="7"/>
  <c r="K824" i="7"/>
  <c r="K827" i="7"/>
  <c r="P166" i="7"/>
  <c r="O333" i="6"/>
  <c r="N9" i="7"/>
  <c r="N23" i="7"/>
  <c r="P93" i="7"/>
  <c r="M90" i="7"/>
  <c r="L122" i="7"/>
  <c r="O122" i="7" s="1"/>
  <c r="L121" i="7"/>
  <c r="O127" i="7"/>
  <c r="M264" i="7"/>
  <c r="P264" i="7" s="1"/>
  <c r="P266" i="7"/>
  <c r="M263" i="7"/>
  <c r="P336" i="7"/>
  <c r="M334" i="7"/>
  <c r="P334" i="7" s="1"/>
  <c r="M330" i="7"/>
  <c r="O788" i="7"/>
  <c r="L786" i="7"/>
  <c r="O786" i="7" s="1"/>
  <c r="L632" i="6"/>
  <c r="O632" i="6" s="1"/>
  <c r="I417" i="7"/>
  <c r="M121" i="5"/>
  <c r="M119" i="5" s="1"/>
  <c r="N43" i="6"/>
  <c r="N151" i="6"/>
  <c r="N149" i="6" s="1"/>
  <c r="K176" i="6"/>
  <c r="N183" i="6"/>
  <c r="L229" i="6"/>
  <c r="M283" i="6"/>
  <c r="P283" i="6" s="1"/>
  <c r="L330" i="6"/>
  <c r="L328" i="6" s="1"/>
  <c r="I364" i="6"/>
  <c r="K593" i="6"/>
  <c r="O58" i="7"/>
  <c r="I76" i="7"/>
  <c r="K79" i="7"/>
  <c r="I77" i="7"/>
  <c r="M91" i="7"/>
  <c r="P91" i="7" s="1"/>
  <c r="L134" i="7"/>
  <c r="O134" i="7" s="1"/>
  <c r="L229" i="7"/>
  <c r="N267" i="7"/>
  <c r="N263" i="7"/>
  <c r="N261" i="7" s="1"/>
  <c r="N59" i="7"/>
  <c r="M94" i="7"/>
  <c r="P94" i="7" s="1"/>
  <c r="K827" i="5"/>
  <c r="N317" i="6"/>
  <c r="N315" i="6" s="1"/>
  <c r="K379" i="6"/>
  <c r="M404" i="6"/>
  <c r="P404" i="6" s="1"/>
  <c r="K699" i="6"/>
  <c r="O35" i="7"/>
  <c r="K98" i="7"/>
  <c r="O166" i="7"/>
  <c r="O306" i="7"/>
  <c r="L304" i="7"/>
  <c r="O304" i="7" s="1"/>
  <c r="P350" i="7"/>
  <c r="M348" i="7"/>
  <c r="P348" i="7" s="1"/>
  <c r="M347" i="7"/>
  <c r="L408" i="7"/>
  <c r="O408" i="7" s="1"/>
  <c r="O410" i="7"/>
  <c r="N301" i="7"/>
  <c r="N300" i="7"/>
  <c r="N298" i="7" s="1"/>
  <c r="L230" i="5"/>
  <c r="N55" i="6"/>
  <c r="N53" i="6" s="1"/>
  <c r="M134" i="6"/>
  <c r="P134" i="6" s="1"/>
  <c r="M348" i="6"/>
  <c r="P348" i="6" s="1"/>
  <c r="L395" i="6"/>
  <c r="O395" i="6" s="1"/>
  <c r="N391" i="6"/>
  <c r="N389" i="6" s="1"/>
  <c r="L408" i="6"/>
  <c r="O408" i="6" s="1"/>
  <c r="I434" i="6"/>
  <c r="K434" i="6" s="1"/>
  <c r="K700" i="6"/>
  <c r="O15" i="7"/>
  <c r="M26" i="7"/>
  <c r="L29" i="7"/>
  <c r="I87" i="7"/>
  <c r="K87" i="7" s="1"/>
  <c r="L135" i="7"/>
  <c r="O135" i="7" s="1"/>
  <c r="M187" i="7"/>
  <c r="P187" i="7" s="1"/>
  <c r="M152" i="7"/>
  <c r="P152" i="7" s="1"/>
  <c r="P154" i="7"/>
  <c r="L56" i="6"/>
  <c r="N330" i="6"/>
  <c r="N328" i="6" s="1"/>
  <c r="P350" i="6"/>
  <c r="K360" i="6"/>
  <c r="M395" i="6"/>
  <c r="P395" i="6" s="1"/>
  <c r="L9" i="7"/>
  <c r="M23" i="7"/>
  <c r="O32" i="7"/>
  <c r="L43" i="7"/>
  <c r="M55" i="7"/>
  <c r="P61" i="7"/>
  <c r="L68" i="7"/>
  <c r="O68" i="7" s="1"/>
  <c r="N121" i="7"/>
  <c r="N119" i="7" s="1"/>
  <c r="P346" i="7"/>
  <c r="O93" i="7"/>
  <c r="O186" i="7"/>
  <c r="N227" i="7"/>
  <c r="J327" i="7"/>
  <c r="K327" i="7" s="1"/>
  <c r="I364" i="7"/>
  <c r="O420" i="7"/>
  <c r="O771" i="7"/>
  <c r="L770" i="7"/>
  <c r="O770" i="7" s="1"/>
  <c r="K244" i="7"/>
  <c r="I237" i="7"/>
  <c r="O266" i="7"/>
  <c r="P269" i="7"/>
  <c r="P353" i="7"/>
  <c r="M351" i="7"/>
  <c r="P351" i="7" s="1"/>
  <c r="P397" i="7"/>
  <c r="M395" i="7"/>
  <c r="P395" i="7" s="1"/>
  <c r="M391" i="7"/>
  <c r="P391" i="7" s="1"/>
  <c r="M414" i="7"/>
  <c r="P414" i="7" s="1"/>
  <c r="P419" i="7"/>
  <c r="L183" i="7"/>
  <c r="M279" i="7"/>
  <c r="M318" i="7"/>
  <c r="P318" i="7" s="1"/>
  <c r="P320" i="7"/>
  <c r="M317" i="7"/>
  <c r="L526" i="7"/>
  <c r="O526" i="7" s="1"/>
  <c r="O528" i="7"/>
  <c r="L525" i="7"/>
  <c r="P545" i="7"/>
  <c r="M544" i="7"/>
  <c r="P544" i="7" s="1"/>
  <c r="I543" i="7"/>
  <c r="K543" i="7" s="1"/>
  <c r="K559" i="7"/>
  <c r="L639" i="7"/>
  <c r="O639" i="7" s="1"/>
  <c r="O641" i="7"/>
  <c r="L631" i="7"/>
  <c r="O631" i="7" s="1"/>
  <c r="M15" i="7"/>
  <c r="M9" i="7" s="1"/>
  <c r="M29" i="7"/>
  <c r="O133" i="7"/>
  <c r="L167" i="7"/>
  <c r="I174" i="7"/>
  <c r="M183" i="7"/>
  <c r="I216" i="7"/>
  <c r="K216" i="7" s="1"/>
  <c r="P285" i="7"/>
  <c r="P333" i="7"/>
  <c r="M331" i="7"/>
  <c r="P331" i="7" s="1"/>
  <c r="K360" i="7"/>
  <c r="K379" i="7"/>
  <c r="O407" i="7"/>
  <c r="L404" i="7"/>
  <c r="P420" i="7"/>
  <c r="L429" i="7"/>
  <c r="O429" i="7" s="1"/>
  <c r="O431" i="7"/>
  <c r="L421" i="7"/>
  <c r="O421" i="7" s="1"/>
  <c r="K462" i="7"/>
  <c r="I443" i="7"/>
  <c r="K443" i="7" s="1"/>
  <c r="L249" i="7"/>
  <c r="O249" i="7" s="1"/>
  <c r="O346" i="7"/>
  <c r="L454" i="7"/>
  <c r="O454" i="7" s="1"/>
  <c r="O456" i="7"/>
  <c r="L446" i="7"/>
  <c r="K365" i="7"/>
  <c r="P394" i="7"/>
  <c r="M392" i="7"/>
  <c r="P392" i="7" s="1"/>
  <c r="P739" i="7"/>
  <c r="M737" i="7"/>
  <c r="P737" i="7" s="1"/>
  <c r="L789" i="7"/>
  <c r="O789" i="7" s="1"/>
  <c r="O791" i="7"/>
  <c r="O807" i="7"/>
  <c r="L805" i="7"/>
  <c r="O805" i="7" s="1"/>
  <c r="O738" i="7"/>
  <c r="L737" i="7"/>
  <c r="O737" i="7" s="1"/>
  <c r="N807" i="7"/>
  <c r="N805" i="7" s="1"/>
  <c r="N414" i="7" s="1"/>
  <c r="N808" i="7"/>
  <c r="P756" i="7"/>
  <c r="M754" i="7"/>
  <c r="P754" i="7" s="1"/>
  <c r="O755" i="7"/>
  <c r="L754" i="7"/>
  <c r="O754" i="7" s="1"/>
  <c r="P772" i="7"/>
  <c r="M770" i="7"/>
  <c r="P770" i="7" s="1"/>
  <c r="K435" i="7"/>
  <c r="J433" i="7"/>
  <c r="J417" i="7" s="1"/>
  <c r="K576" i="7"/>
  <c r="L470" i="7"/>
  <c r="O470" i="7" s="1"/>
  <c r="J721" i="7"/>
  <c r="K721" i="7" s="1"/>
  <c r="K675" i="7"/>
  <c r="M685" i="7"/>
  <c r="P685" i="7" s="1"/>
  <c r="M786" i="7"/>
  <c r="P786" i="7" s="1"/>
  <c r="K537" i="7"/>
  <c r="L546" i="7"/>
  <c r="K593" i="7"/>
  <c r="I276" i="5"/>
  <c r="K276" i="5" s="1"/>
  <c r="N317" i="5"/>
  <c r="N315" i="5" s="1"/>
  <c r="O323" i="5"/>
  <c r="N330" i="5"/>
  <c r="N328" i="5" s="1"/>
  <c r="I443" i="5"/>
  <c r="K443" i="5" s="1"/>
  <c r="L91" i="6"/>
  <c r="I112" i="6"/>
  <c r="K112" i="6" s="1"/>
  <c r="N300" i="6"/>
  <c r="N298" i="6" s="1"/>
  <c r="N304" i="6"/>
  <c r="O353" i="6"/>
  <c r="L351" i="6"/>
  <c r="L217" i="4"/>
  <c r="O217" i="4" s="1"/>
  <c r="L229" i="4"/>
  <c r="I314" i="4"/>
  <c r="K314" i="4" s="1"/>
  <c r="P323" i="5"/>
  <c r="L447" i="2"/>
  <c r="O447" i="2" s="1"/>
  <c r="O154" i="6"/>
  <c r="L152" i="6"/>
  <c r="O152" i="6" s="1"/>
  <c r="K271" i="6"/>
  <c r="I260" i="6"/>
  <c r="K260" i="6" s="1"/>
  <c r="N395" i="6"/>
  <c r="K369" i="4"/>
  <c r="P125" i="5"/>
  <c r="O690" i="5"/>
  <c r="M43" i="6"/>
  <c r="M41" i="6" s="1"/>
  <c r="L68" i="6"/>
  <c r="L66" i="6" s="1"/>
  <c r="O66" i="6" s="1"/>
  <c r="P394" i="6"/>
  <c r="M391" i="6"/>
  <c r="M389" i="6" s="1"/>
  <c r="P389" i="6" s="1"/>
  <c r="K98" i="6"/>
  <c r="M135" i="6"/>
  <c r="P135" i="6" s="1"/>
  <c r="P137" i="6"/>
  <c r="L300" i="6"/>
  <c r="O300" i="6" s="1"/>
  <c r="P353" i="6"/>
  <c r="O549" i="6"/>
  <c r="K568" i="6"/>
  <c r="K821" i="6"/>
  <c r="K827" i="6"/>
  <c r="I190" i="6"/>
  <c r="K190" i="6" s="1"/>
  <c r="L263" i="6"/>
  <c r="M279" i="6"/>
  <c r="P279" i="6" s="1"/>
  <c r="O350" i="6"/>
  <c r="N351" i="6"/>
  <c r="P351" i="6" s="1"/>
  <c r="K369" i="6"/>
  <c r="K372" i="6"/>
  <c r="L555" i="6"/>
  <c r="O555" i="6" s="1"/>
  <c r="N167" i="6"/>
  <c r="O173" i="6"/>
  <c r="O266" i="6"/>
  <c r="M280" i="6"/>
  <c r="P280" i="6" s="1"/>
  <c r="K365" i="6"/>
  <c r="L391" i="6"/>
  <c r="O391" i="6" s="1"/>
  <c r="J433" i="6"/>
  <c r="K433" i="6" s="1"/>
  <c r="L217" i="6"/>
  <c r="O217" i="6" s="1"/>
  <c r="O269" i="6"/>
  <c r="O303" i="6"/>
  <c r="N404" i="4"/>
  <c r="N402" i="4" s="1"/>
  <c r="L90" i="5"/>
  <c r="L88" i="5" s="1"/>
  <c r="P46" i="6"/>
  <c r="N56" i="6"/>
  <c r="O58" i="6"/>
  <c r="M69" i="6"/>
  <c r="P69" i="6" s="1"/>
  <c r="P71" i="6"/>
  <c r="K81" i="6"/>
  <c r="N91" i="6"/>
  <c r="O93" i="6"/>
  <c r="K116" i="6"/>
  <c r="L121" i="6"/>
  <c r="O121" i="6" s="1"/>
  <c r="L125" i="6"/>
  <c r="O125" i="6" s="1"/>
  <c r="M138" i="6"/>
  <c r="P138" i="6" s="1"/>
  <c r="L151" i="6"/>
  <c r="O151" i="6" s="1"/>
  <c r="L155" i="6"/>
  <c r="O155" i="6" s="1"/>
  <c r="L168" i="6"/>
  <c r="O168" i="6" s="1"/>
  <c r="K174" i="6"/>
  <c r="L184" i="6"/>
  <c r="O184" i="6" s="1"/>
  <c r="I216" i="6"/>
  <c r="K216" i="6" s="1"/>
  <c r="K287" i="6"/>
  <c r="L347" i="6"/>
  <c r="L405" i="6"/>
  <c r="O405" i="6" s="1"/>
  <c r="O472" i="6"/>
  <c r="K560" i="6"/>
  <c r="K824" i="6"/>
  <c r="L317" i="6"/>
  <c r="O317" i="6" s="1"/>
  <c r="L348" i="6"/>
  <c r="O348" i="6" s="1"/>
  <c r="J722" i="5"/>
  <c r="M44" i="6"/>
  <c r="M47" i="6"/>
  <c r="P47" i="6" s="1"/>
  <c r="L59" i="6"/>
  <c r="O59" i="6" s="1"/>
  <c r="M72" i="6"/>
  <c r="P72" i="6" s="1"/>
  <c r="L94" i="6"/>
  <c r="O94" i="6" s="1"/>
  <c r="K87" i="6"/>
  <c r="M121" i="6"/>
  <c r="J143" i="6"/>
  <c r="J131" i="6" s="1"/>
  <c r="M151" i="6"/>
  <c r="O170" i="6"/>
  <c r="O186" i="6"/>
  <c r="L209" i="6"/>
  <c r="O209" i="6" s="1"/>
  <c r="N279" i="6"/>
  <c r="N277" i="6" s="1"/>
  <c r="I297" i="6"/>
  <c r="K297" i="6" s="1"/>
  <c r="L318" i="6"/>
  <c r="O318" i="6" s="1"/>
  <c r="K340" i="6"/>
  <c r="K362" i="6"/>
  <c r="L525" i="6"/>
  <c r="O525" i="6" s="1"/>
  <c r="L546" i="6"/>
  <c r="L544" i="6" s="1"/>
  <c r="O544" i="6" s="1"/>
  <c r="N43" i="5"/>
  <c r="N41" i="5" s="1"/>
  <c r="K824" i="5"/>
  <c r="N26" i="6"/>
  <c r="N16" i="6" s="1"/>
  <c r="L321" i="6"/>
  <c r="O321" i="6" s="1"/>
  <c r="O331" i="6"/>
  <c r="J327" i="6"/>
  <c r="K327" i="6" s="1"/>
  <c r="L404" i="6"/>
  <c r="O404" i="6" s="1"/>
  <c r="J537" i="6"/>
  <c r="J522" i="6" s="1"/>
  <c r="K800" i="6"/>
  <c r="I785" i="6"/>
  <c r="K785" i="6" s="1"/>
  <c r="I297" i="5"/>
  <c r="K297" i="5" s="1"/>
  <c r="N23" i="6"/>
  <c r="N21" i="6" s="1"/>
  <c r="I76" i="6"/>
  <c r="I64" i="6" s="1"/>
  <c r="K64" i="6" s="1"/>
  <c r="N134" i="6"/>
  <c r="N132" i="6" s="1"/>
  <c r="I208" i="6"/>
  <c r="K208" i="6" s="1"/>
  <c r="P333" i="6"/>
  <c r="L688" i="6"/>
  <c r="O690" i="6"/>
  <c r="L687" i="6"/>
  <c r="O687" i="6" s="1"/>
  <c r="M23" i="6"/>
  <c r="M13" i="6" s="1"/>
  <c r="N68" i="6"/>
  <c r="N66" i="6" s="1"/>
  <c r="L198" i="6"/>
  <c r="O198" i="6" s="1"/>
  <c r="L238" i="6"/>
  <c r="O238" i="6" s="1"/>
  <c r="L249" i="6"/>
  <c r="O249" i="6" s="1"/>
  <c r="K338" i="6"/>
  <c r="K673" i="6"/>
  <c r="J722" i="6"/>
  <c r="K825" i="6"/>
  <c r="K576" i="6"/>
  <c r="K669" i="6"/>
  <c r="K823" i="6"/>
  <c r="K651" i="6"/>
  <c r="M267" i="6"/>
  <c r="P267" i="6" s="1"/>
  <c r="P269" i="6"/>
  <c r="N167" i="4"/>
  <c r="N165" i="4" s="1"/>
  <c r="N263" i="4"/>
  <c r="N261" i="4" s="1"/>
  <c r="O58" i="5"/>
  <c r="J143" i="5"/>
  <c r="J131" i="5" s="1"/>
  <c r="I260" i="5"/>
  <c r="K260" i="5" s="1"/>
  <c r="L300" i="5"/>
  <c r="L298" i="5" s="1"/>
  <c r="K370" i="5"/>
  <c r="K379" i="5"/>
  <c r="M405" i="5"/>
  <c r="P405" i="5" s="1"/>
  <c r="O456" i="5"/>
  <c r="K649" i="5"/>
  <c r="P15" i="6"/>
  <c r="P35" i="6"/>
  <c r="M34" i="6"/>
  <c r="P34" i="6" s="1"/>
  <c r="L44" i="6"/>
  <c r="L23" i="6"/>
  <c r="O46" i="6"/>
  <c r="L47" i="6"/>
  <c r="O47" i="6" s="1"/>
  <c r="O49" i="6"/>
  <c r="L26" i="6"/>
  <c r="L24" i="6" s="1"/>
  <c r="M94" i="6"/>
  <c r="P94" i="6" s="1"/>
  <c r="P96" i="6"/>
  <c r="M26" i="6"/>
  <c r="L135" i="6"/>
  <c r="O135" i="6" s="1"/>
  <c r="O137" i="6"/>
  <c r="M168" i="6"/>
  <c r="P168" i="6" s="1"/>
  <c r="P170" i="6"/>
  <c r="O182" i="6"/>
  <c r="K225" i="6"/>
  <c r="L429" i="6"/>
  <c r="O429" i="6" s="1"/>
  <c r="O431" i="6"/>
  <c r="L421" i="6"/>
  <c r="L36" i="6"/>
  <c r="L555" i="3"/>
  <c r="O555" i="3" s="1"/>
  <c r="I314" i="5"/>
  <c r="K314" i="5" s="1"/>
  <c r="P29" i="6"/>
  <c r="L138" i="6"/>
  <c r="O138" i="6" s="1"/>
  <c r="O140" i="6"/>
  <c r="M184" i="6"/>
  <c r="P184" i="6" s="1"/>
  <c r="P186" i="6"/>
  <c r="I543" i="6"/>
  <c r="L91" i="5"/>
  <c r="L94" i="5"/>
  <c r="O94" i="5" s="1"/>
  <c r="L657" i="5"/>
  <c r="P22" i="6"/>
  <c r="M19" i="6"/>
  <c r="M12" i="6"/>
  <c r="L69" i="6"/>
  <c r="O69" i="6" s="1"/>
  <c r="O71" i="6"/>
  <c r="I130" i="6"/>
  <c r="K130" i="6" s="1"/>
  <c r="K146" i="6"/>
  <c r="M171" i="6"/>
  <c r="P171" i="6" s="1"/>
  <c r="P173" i="6"/>
  <c r="O771" i="6"/>
  <c r="L770" i="6"/>
  <c r="O770" i="6" s="1"/>
  <c r="M94" i="4"/>
  <c r="P94" i="4" s="1"/>
  <c r="I87" i="5"/>
  <c r="K87" i="5" s="1"/>
  <c r="L134" i="5"/>
  <c r="L151" i="5"/>
  <c r="O151" i="5" s="1"/>
  <c r="K362" i="5"/>
  <c r="K372" i="5"/>
  <c r="M391" i="5"/>
  <c r="P391" i="5" s="1"/>
  <c r="L72" i="6"/>
  <c r="O72" i="6" s="1"/>
  <c r="O74" i="6"/>
  <c r="O89" i="6"/>
  <c r="M187" i="6"/>
  <c r="P187" i="6" s="1"/>
  <c r="P189" i="6"/>
  <c r="J226" i="6"/>
  <c r="J180" i="6" s="1"/>
  <c r="O166" i="6"/>
  <c r="L122" i="5"/>
  <c r="O122" i="5" s="1"/>
  <c r="P140" i="5"/>
  <c r="L155" i="5"/>
  <c r="O155" i="5" s="1"/>
  <c r="L168" i="5"/>
  <c r="N391" i="5"/>
  <c r="N389" i="5" s="1"/>
  <c r="L546" i="5"/>
  <c r="L544" i="5" s="1"/>
  <c r="K828" i="5"/>
  <c r="M91" i="6"/>
  <c r="P93" i="6"/>
  <c r="M167" i="6"/>
  <c r="K204" i="6"/>
  <c r="I197" i="6"/>
  <c r="K197" i="6" s="1"/>
  <c r="M263" i="6"/>
  <c r="L454" i="6"/>
  <c r="O454" i="6" s="1"/>
  <c r="O456" i="6"/>
  <c r="L446" i="6"/>
  <c r="N9" i="6"/>
  <c r="N15" i="6"/>
  <c r="N29" i="6"/>
  <c r="N28" i="6" s="1"/>
  <c r="L33" i="6"/>
  <c r="L31" i="6" s="1"/>
  <c r="O31" i="6" s="1"/>
  <c r="N44" i="6"/>
  <c r="O54" i="6"/>
  <c r="P58" i="6"/>
  <c r="P61" i="6"/>
  <c r="O120" i="6"/>
  <c r="P124" i="6"/>
  <c r="P127" i="6"/>
  <c r="O150" i="6"/>
  <c r="P154" i="6"/>
  <c r="P157" i="6"/>
  <c r="L228" i="6"/>
  <c r="P278" i="6"/>
  <c r="K355" i="6"/>
  <c r="P545" i="6"/>
  <c r="M544" i="6"/>
  <c r="P544" i="6" s="1"/>
  <c r="M770" i="6"/>
  <c r="P770" i="6" s="1"/>
  <c r="K255" i="6"/>
  <c r="I248" i="6"/>
  <c r="L526" i="6"/>
  <c r="O526" i="6" s="1"/>
  <c r="O528" i="6"/>
  <c r="K647" i="6"/>
  <c r="M56" i="6"/>
  <c r="K99" i="6"/>
  <c r="I233" i="6"/>
  <c r="K233" i="6" s="1"/>
  <c r="O262" i="6"/>
  <c r="O316" i="6"/>
  <c r="M318" i="6"/>
  <c r="P318" i="6" s="1"/>
  <c r="P320" i="6"/>
  <c r="L805" i="6"/>
  <c r="O805" i="6" s="1"/>
  <c r="N807" i="6"/>
  <c r="N805" i="6" s="1"/>
  <c r="N808" i="6"/>
  <c r="M264" i="6"/>
  <c r="P264" i="6" s="1"/>
  <c r="P266" i="6"/>
  <c r="M321" i="6"/>
  <c r="P321" i="6" s="1"/>
  <c r="P323" i="6"/>
  <c r="N544" i="6"/>
  <c r="L639" i="6"/>
  <c r="O639" i="6" s="1"/>
  <c r="O641" i="6"/>
  <c r="L631" i="6"/>
  <c r="O631" i="6" s="1"/>
  <c r="O738" i="6"/>
  <c r="L737" i="6"/>
  <c r="O737" i="6" s="1"/>
  <c r="L786" i="6"/>
  <c r="O786" i="6" s="1"/>
  <c r="L789" i="6"/>
  <c r="O789" i="6" s="1"/>
  <c r="O791" i="6"/>
  <c r="L15" i="6"/>
  <c r="L9" i="6" s="1"/>
  <c r="L29" i="6"/>
  <c r="M30" i="6"/>
  <c r="P30" i="6" s="1"/>
  <c r="I143" i="6"/>
  <c r="K370" i="6"/>
  <c r="I443" i="6"/>
  <c r="K443" i="6" s="1"/>
  <c r="M737" i="6"/>
  <c r="P737" i="6" s="1"/>
  <c r="O755" i="6"/>
  <c r="L754" i="6"/>
  <c r="O754" i="6" s="1"/>
  <c r="L280" i="6"/>
  <c r="O280" i="6" s="1"/>
  <c r="L283" i="6"/>
  <c r="O283" i="6" s="1"/>
  <c r="O299" i="6"/>
  <c r="P303" i="6"/>
  <c r="P306" i="6"/>
  <c r="J364" i="6"/>
  <c r="O403" i="6"/>
  <c r="P407" i="6"/>
  <c r="P410" i="6"/>
  <c r="P419" i="6"/>
  <c r="P468" i="6"/>
  <c r="P503" i="6"/>
  <c r="J559" i="6"/>
  <c r="J543" i="6" s="1"/>
  <c r="J628" i="6"/>
  <c r="K628" i="6" s="1"/>
  <c r="O656" i="6"/>
  <c r="K674" i="6"/>
  <c r="N688" i="6"/>
  <c r="L469" i="6"/>
  <c r="I654" i="6"/>
  <c r="K654" i="6" s="1"/>
  <c r="I442" i="6"/>
  <c r="K442" i="6" s="1"/>
  <c r="K675" i="6"/>
  <c r="N657" i="6"/>
  <c r="O657" i="6" s="1"/>
  <c r="K800" i="5"/>
  <c r="I785" i="5"/>
  <c r="K785" i="5" s="1"/>
  <c r="P58" i="5"/>
  <c r="M56" i="5"/>
  <c r="P56" i="5" s="1"/>
  <c r="L429" i="5"/>
  <c r="O429" i="5" s="1"/>
  <c r="O431" i="5"/>
  <c r="K651" i="5"/>
  <c r="I628" i="5"/>
  <c r="K628" i="5" s="1"/>
  <c r="N134" i="5"/>
  <c r="N132" i="5" s="1"/>
  <c r="O269" i="5"/>
  <c r="L267" i="5"/>
  <c r="O267" i="5" s="1"/>
  <c r="O266" i="5"/>
  <c r="L263" i="5"/>
  <c r="L261" i="5" s="1"/>
  <c r="M267" i="5"/>
  <c r="P267" i="5" s="1"/>
  <c r="P269" i="5"/>
  <c r="O472" i="5"/>
  <c r="L470" i="5"/>
  <c r="O470" i="5" s="1"/>
  <c r="P71" i="5"/>
  <c r="M69" i="5"/>
  <c r="P69" i="5" s="1"/>
  <c r="L447" i="5"/>
  <c r="O447" i="5" s="1"/>
  <c r="L446" i="5"/>
  <c r="O446" i="5" s="1"/>
  <c r="K145" i="4"/>
  <c r="I143" i="4"/>
  <c r="I131" i="4" s="1"/>
  <c r="K131" i="4" s="1"/>
  <c r="I522" i="4"/>
  <c r="K522" i="4" s="1"/>
  <c r="P59" i="5"/>
  <c r="P264" i="5"/>
  <c r="M300" i="5"/>
  <c r="M298" i="5" s="1"/>
  <c r="M347" i="5"/>
  <c r="M345" i="5" s="1"/>
  <c r="K359" i="5"/>
  <c r="M404" i="5"/>
  <c r="M402" i="5" s="1"/>
  <c r="P402" i="5" s="1"/>
  <c r="L36" i="5"/>
  <c r="O36" i="5" s="1"/>
  <c r="K674" i="5"/>
  <c r="K822" i="5"/>
  <c r="O348" i="5"/>
  <c r="K378" i="4"/>
  <c r="M151" i="5"/>
  <c r="P151" i="5" s="1"/>
  <c r="M167" i="5"/>
  <c r="M165" i="5" s="1"/>
  <c r="M183" i="5"/>
  <c r="M181" i="5" s="1"/>
  <c r="N318" i="5"/>
  <c r="N331" i="5"/>
  <c r="O331" i="5" s="1"/>
  <c r="K675" i="5"/>
  <c r="K99" i="4"/>
  <c r="K370" i="4"/>
  <c r="O46" i="5"/>
  <c r="O154" i="5"/>
  <c r="P301" i="5"/>
  <c r="K340" i="5"/>
  <c r="M392" i="5"/>
  <c r="P392" i="5" s="1"/>
  <c r="M395" i="5"/>
  <c r="P395" i="5" s="1"/>
  <c r="M408" i="5"/>
  <c r="P408" i="5" s="1"/>
  <c r="I654" i="5"/>
  <c r="K654" i="5" s="1"/>
  <c r="O660" i="5"/>
  <c r="K669" i="5"/>
  <c r="K821" i="5"/>
  <c r="I112" i="5"/>
  <c r="K112" i="5" s="1"/>
  <c r="K115" i="5"/>
  <c r="O170" i="5"/>
  <c r="N168" i="5"/>
  <c r="P303" i="5"/>
  <c r="N300" i="5"/>
  <c r="N298" i="5" s="1"/>
  <c r="O303" i="5"/>
  <c r="O634" i="5"/>
  <c r="L632" i="5"/>
  <c r="O632" i="5" s="1"/>
  <c r="M304" i="4"/>
  <c r="P304" i="4" s="1"/>
  <c r="P306" i="4"/>
  <c r="O74" i="5"/>
  <c r="L72" i="5"/>
  <c r="O72" i="5" s="1"/>
  <c r="I130" i="5"/>
  <c r="K130" i="5" s="1"/>
  <c r="K381" i="5"/>
  <c r="J374" i="5"/>
  <c r="J364" i="5" s="1"/>
  <c r="N404" i="5"/>
  <c r="N402" i="5" s="1"/>
  <c r="N408" i="5"/>
  <c r="K540" i="5"/>
  <c r="J537" i="5"/>
  <c r="J522" i="5" s="1"/>
  <c r="N90" i="5"/>
  <c r="N94" i="5"/>
  <c r="N267" i="5"/>
  <c r="N263" i="5"/>
  <c r="L526" i="5"/>
  <c r="O526" i="5" s="1"/>
  <c r="L525" i="5"/>
  <c r="O525" i="5" s="1"/>
  <c r="L33" i="5"/>
  <c r="O33" i="5" s="1"/>
  <c r="N68" i="5"/>
  <c r="N66" i="5" s="1"/>
  <c r="N69" i="5"/>
  <c r="L152" i="4"/>
  <c r="O152" i="4" s="1"/>
  <c r="O154" i="4"/>
  <c r="L43" i="5"/>
  <c r="O49" i="5"/>
  <c r="L47" i="5"/>
  <c r="O47" i="5" s="1"/>
  <c r="O61" i="5"/>
  <c r="L55" i="5"/>
  <c r="L53" i="5" s="1"/>
  <c r="L59" i="5"/>
  <c r="O59" i="5" s="1"/>
  <c r="L184" i="5"/>
  <c r="L183" i="5"/>
  <c r="L181" i="5" s="1"/>
  <c r="K215" i="5"/>
  <c r="I208" i="5"/>
  <c r="K208" i="5" s="1"/>
  <c r="L317" i="5"/>
  <c r="O317" i="5" s="1"/>
  <c r="O320" i="5"/>
  <c r="L318" i="5"/>
  <c r="O318" i="5" s="1"/>
  <c r="P336" i="5"/>
  <c r="M334" i="5"/>
  <c r="P334" i="5" s="1"/>
  <c r="I364" i="5"/>
  <c r="M279" i="5"/>
  <c r="P279" i="5" s="1"/>
  <c r="N44" i="5"/>
  <c r="O44" i="5" s="1"/>
  <c r="N26" i="5"/>
  <c r="N16" i="5" s="1"/>
  <c r="N14" i="5" s="1"/>
  <c r="M72" i="5"/>
  <c r="P72" i="5" s="1"/>
  <c r="N122" i="5"/>
  <c r="M138" i="5"/>
  <c r="P138" i="5" s="1"/>
  <c r="N151" i="5"/>
  <c r="N149" i="5" s="1"/>
  <c r="L171" i="5"/>
  <c r="O171" i="5" s="1"/>
  <c r="J288" i="5"/>
  <c r="J275" i="5" s="1"/>
  <c r="L26" i="5"/>
  <c r="L547" i="5"/>
  <c r="L454" i="3"/>
  <c r="O454" i="3" s="1"/>
  <c r="L230" i="3"/>
  <c r="N55" i="4"/>
  <c r="N53" i="4" s="1"/>
  <c r="N68" i="3"/>
  <c r="N66" i="3" s="1"/>
  <c r="M68" i="4"/>
  <c r="M66" i="4" s="1"/>
  <c r="P66" i="4" s="1"/>
  <c r="M301" i="4"/>
  <c r="P301" i="4" s="1"/>
  <c r="K379" i="4"/>
  <c r="J721" i="4"/>
  <c r="N47" i="5"/>
  <c r="L121" i="5"/>
  <c r="L125" i="5"/>
  <c r="O125" i="5" s="1"/>
  <c r="N167" i="5"/>
  <c r="L187" i="5"/>
  <c r="O187" i="5" s="1"/>
  <c r="L231" i="5"/>
  <c r="L264" i="5"/>
  <c r="O264" i="5" s="1"/>
  <c r="M280" i="5"/>
  <c r="P280" i="5" s="1"/>
  <c r="K288" i="5"/>
  <c r="M304" i="5"/>
  <c r="P304" i="5" s="1"/>
  <c r="P348" i="5"/>
  <c r="P350" i="5"/>
  <c r="K365" i="5"/>
  <c r="O449" i="5"/>
  <c r="I233" i="4"/>
  <c r="K233" i="4" s="1"/>
  <c r="O152" i="3"/>
  <c r="P170" i="3"/>
  <c r="M121" i="4"/>
  <c r="P121" i="4" s="1"/>
  <c r="M125" i="4"/>
  <c r="P125" i="4" s="1"/>
  <c r="L56" i="5"/>
  <c r="O56" i="5" s="1"/>
  <c r="K98" i="5"/>
  <c r="K111" i="5"/>
  <c r="L209" i="5"/>
  <c r="O209" i="5" s="1"/>
  <c r="L217" i="5"/>
  <c r="O217" i="5" s="1"/>
  <c r="I233" i="5"/>
  <c r="K233" i="5" s="1"/>
  <c r="M283" i="5"/>
  <c r="P283" i="5" s="1"/>
  <c r="O301" i="5"/>
  <c r="K385" i="5"/>
  <c r="L391" i="5"/>
  <c r="L389" i="5" s="1"/>
  <c r="O389" i="5" s="1"/>
  <c r="O424" i="5"/>
  <c r="K672" i="5"/>
  <c r="M90" i="5"/>
  <c r="M88" i="5" s="1"/>
  <c r="I190" i="5"/>
  <c r="K190" i="5" s="1"/>
  <c r="L198" i="5"/>
  <c r="O198" i="5" s="1"/>
  <c r="P266" i="5"/>
  <c r="P333" i="5"/>
  <c r="I442" i="5"/>
  <c r="K442" i="5" s="1"/>
  <c r="M30" i="5"/>
  <c r="P30" i="5" s="1"/>
  <c r="M34" i="5"/>
  <c r="P34" i="5" s="1"/>
  <c r="P46" i="5"/>
  <c r="M44" i="5"/>
  <c r="M301" i="2"/>
  <c r="P301" i="2" s="1"/>
  <c r="K649" i="2"/>
  <c r="P56" i="3"/>
  <c r="L395" i="3"/>
  <c r="O395" i="3" s="1"/>
  <c r="L446" i="3"/>
  <c r="L444" i="3" s="1"/>
  <c r="L69" i="4"/>
  <c r="O69" i="4" s="1"/>
  <c r="M90" i="4"/>
  <c r="M88" i="4" s="1"/>
  <c r="I148" i="4"/>
  <c r="K148" i="4" s="1"/>
  <c r="N168" i="4"/>
  <c r="O168" i="4" s="1"/>
  <c r="L209" i="4"/>
  <c r="O209" i="4" s="1"/>
  <c r="J327" i="4"/>
  <c r="K327" i="4" s="1"/>
  <c r="K823" i="4"/>
  <c r="O22" i="5"/>
  <c r="L19" i="5"/>
  <c r="L12" i="5"/>
  <c r="O35" i="5"/>
  <c r="P49" i="5"/>
  <c r="M26" i="5"/>
  <c r="M24" i="5" s="1"/>
  <c r="M47" i="5"/>
  <c r="P47" i="5" s="1"/>
  <c r="P54" i="5"/>
  <c r="K79" i="5"/>
  <c r="I77" i="5"/>
  <c r="N91" i="5"/>
  <c r="O93" i="5"/>
  <c r="O120" i="5"/>
  <c r="O140" i="5"/>
  <c r="L138" i="5"/>
  <c r="O138" i="5" s="1"/>
  <c r="P173" i="5"/>
  <c r="M171" i="5"/>
  <c r="P171" i="5" s="1"/>
  <c r="L228" i="5"/>
  <c r="L249" i="5"/>
  <c r="O249" i="5" s="1"/>
  <c r="M135" i="5"/>
  <c r="P135" i="5" s="1"/>
  <c r="M59" i="4"/>
  <c r="P59" i="4" s="1"/>
  <c r="L134" i="4"/>
  <c r="O134" i="4" s="1"/>
  <c r="M408" i="4"/>
  <c r="P408" i="4" s="1"/>
  <c r="O15" i="5"/>
  <c r="O89" i="5"/>
  <c r="P137" i="5"/>
  <c r="I148" i="5"/>
  <c r="K148" i="5" s="1"/>
  <c r="N183" i="5"/>
  <c r="O353" i="5"/>
  <c r="L351" i="5"/>
  <c r="O351" i="5" s="1"/>
  <c r="L347" i="5"/>
  <c r="O42" i="5"/>
  <c r="P67" i="5"/>
  <c r="L135" i="4"/>
  <c r="O135" i="4" s="1"/>
  <c r="O306" i="4"/>
  <c r="N19" i="5"/>
  <c r="N12" i="5"/>
  <c r="O71" i="5"/>
  <c r="L68" i="5"/>
  <c r="M122" i="5"/>
  <c r="P122" i="5" s="1"/>
  <c r="P124" i="5"/>
  <c r="M155" i="5"/>
  <c r="P155" i="5" s="1"/>
  <c r="P157" i="5"/>
  <c r="L43" i="4"/>
  <c r="L41" i="4" s="1"/>
  <c r="M263" i="4"/>
  <c r="M261" i="4" s="1"/>
  <c r="O29" i="5"/>
  <c r="I77" i="4"/>
  <c r="I65" i="4" s="1"/>
  <c r="K65" i="4" s="1"/>
  <c r="O269" i="4"/>
  <c r="M347" i="4"/>
  <c r="M345" i="4" s="1"/>
  <c r="M395" i="4"/>
  <c r="P395" i="4" s="1"/>
  <c r="I442" i="4"/>
  <c r="K442" i="4" s="1"/>
  <c r="M23" i="5"/>
  <c r="N29" i="5"/>
  <c r="N28" i="5" s="1"/>
  <c r="M43" i="5"/>
  <c r="L23" i="5"/>
  <c r="L21" i="5" s="1"/>
  <c r="N55" i="5"/>
  <c r="N53" i="5" s="1"/>
  <c r="I76" i="5"/>
  <c r="K82" i="5"/>
  <c r="O150" i="5"/>
  <c r="P166" i="5"/>
  <c r="I174" i="5"/>
  <c r="K176" i="5"/>
  <c r="O282" i="5"/>
  <c r="L279" i="5"/>
  <c r="L280" i="5"/>
  <c r="O280" i="5" s="1"/>
  <c r="O329" i="5"/>
  <c r="P420" i="5"/>
  <c r="M419" i="5"/>
  <c r="P12" i="5"/>
  <c r="M15" i="5"/>
  <c r="P19" i="5"/>
  <c r="N23" i="5"/>
  <c r="P25" i="5"/>
  <c r="M29" i="5"/>
  <c r="P32" i="5"/>
  <c r="P61" i="5"/>
  <c r="P127" i="5"/>
  <c r="P154" i="5"/>
  <c r="N184" i="5"/>
  <c r="P186" i="5"/>
  <c r="M184" i="5"/>
  <c r="M263" i="5"/>
  <c r="J327" i="5"/>
  <c r="K327" i="5" s="1"/>
  <c r="K338" i="5"/>
  <c r="P353" i="5"/>
  <c r="I434" i="5"/>
  <c r="K438" i="5"/>
  <c r="P445" i="5"/>
  <c r="M444" i="5"/>
  <c r="P444" i="5" s="1"/>
  <c r="O524" i="5"/>
  <c r="K559" i="5"/>
  <c r="L789" i="5"/>
  <c r="O789" i="5" s="1"/>
  <c r="O791" i="5"/>
  <c r="P351" i="5"/>
  <c r="L395" i="5"/>
  <c r="O395" i="5" s="1"/>
  <c r="O397" i="5"/>
  <c r="O410" i="5"/>
  <c r="L408" i="5"/>
  <c r="O408" i="5" s="1"/>
  <c r="O771" i="5"/>
  <c r="L770" i="5"/>
  <c r="O770" i="5" s="1"/>
  <c r="P96" i="5"/>
  <c r="M94" i="5"/>
  <c r="P94" i="5" s="1"/>
  <c r="K145" i="5"/>
  <c r="I143" i="5"/>
  <c r="O186" i="5"/>
  <c r="K204" i="5"/>
  <c r="K224" i="5"/>
  <c r="K244" i="5"/>
  <c r="L304" i="5"/>
  <c r="O304" i="5" s="1"/>
  <c r="O316" i="5"/>
  <c r="O346" i="5"/>
  <c r="N347" i="5"/>
  <c r="O630" i="5"/>
  <c r="P170" i="5"/>
  <c r="M168" i="5"/>
  <c r="I237" i="5"/>
  <c r="K255" i="5"/>
  <c r="I248" i="5"/>
  <c r="K248" i="5" s="1"/>
  <c r="O262" i="5"/>
  <c r="L283" i="5"/>
  <c r="O283" i="5" s="1"/>
  <c r="L330" i="5"/>
  <c r="L334" i="5"/>
  <c r="O334" i="5" s="1"/>
  <c r="J355" i="5"/>
  <c r="K355" i="5" s="1"/>
  <c r="K435" i="5"/>
  <c r="J433" i="5"/>
  <c r="J417" i="5" s="1"/>
  <c r="I433" i="5"/>
  <c r="M55" i="5"/>
  <c r="M53" i="5" s="1"/>
  <c r="M68" i="5"/>
  <c r="P68" i="5" s="1"/>
  <c r="P93" i="5"/>
  <c r="M91" i="5"/>
  <c r="P133" i="5"/>
  <c r="O137" i="5"/>
  <c r="L135" i="5"/>
  <c r="O135" i="5" s="1"/>
  <c r="P189" i="5"/>
  <c r="M187" i="5"/>
  <c r="P187" i="5" s="1"/>
  <c r="L238" i="5"/>
  <c r="L229" i="5"/>
  <c r="N279" i="5"/>
  <c r="N277" i="5" s="1"/>
  <c r="M318" i="5"/>
  <c r="P318" i="5" s="1"/>
  <c r="M317" i="5"/>
  <c r="M330" i="5"/>
  <c r="K378" i="5"/>
  <c r="P390" i="5"/>
  <c r="P525" i="5"/>
  <c r="M523" i="5"/>
  <c r="P523" i="5" s="1"/>
  <c r="K360" i="5"/>
  <c r="L392" i="5"/>
  <c r="O392" i="5" s="1"/>
  <c r="O394" i="5"/>
  <c r="O407" i="5"/>
  <c r="L405" i="5"/>
  <c r="O405" i="5" s="1"/>
  <c r="N444" i="5"/>
  <c r="O549" i="5"/>
  <c r="N546" i="5"/>
  <c r="N547" i="5"/>
  <c r="I592" i="5"/>
  <c r="K592" i="5" s="1"/>
  <c r="K593" i="5"/>
  <c r="M629" i="5"/>
  <c r="P629" i="5" s="1"/>
  <c r="K647" i="5"/>
  <c r="N685" i="5"/>
  <c r="N805" i="5"/>
  <c r="O503" i="5"/>
  <c r="L502" i="5"/>
  <c r="O502" i="5" s="1"/>
  <c r="N523" i="5"/>
  <c r="K576" i="5"/>
  <c r="J559" i="5"/>
  <c r="J543" i="5" s="1"/>
  <c r="O738" i="5"/>
  <c r="L737" i="5"/>
  <c r="O737" i="5" s="1"/>
  <c r="N807" i="5"/>
  <c r="N808" i="5"/>
  <c r="O333" i="5"/>
  <c r="O350" i="5"/>
  <c r="K369" i="5"/>
  <c r="L404" i="5"/>
  <c r="O404" i="5" s="1"/>
  <c r="L421" i="5"/>
  <c r="O468" i="5"/>
  <c r="L477" i="5"/>
  <c r="O477" i="5" s="1"/>
  <c r="O479" i="5"/>
  <c r="L469" i="5"/>
  <c r="O469" i="5" s="1"/>
  <c r="M502" i="5"/>
  <c r="P502" i="5" s="1"/>
  <c r="I543" i="5"/>
  <c r="K543" i="5" s="1"/>
  <c r="L639" i="5"/>
  <c r="O639" i="5" s="1"/>
  <c r="O641" i="5"/>
  <c r="L631" i="5"/>
  <c r="O631" i="5" s="1"/>
  <c r="O755" i="5"/>
  <c r="L754" i="5"/>
  <c r="O754" i="5" s="1"/>
  <c r="O528" i="5"/>
  <c r="N688" i="5"/>
  <c r="M737" i="5"/>
  <c r="P737" i="5" s="1"/>
  <c r="M754" i="5"/>
  <c r="P754" i="5" s="1"/>
  <c r="M770" i="5"/>
  <c r="P770" i="5" s="1"/>
  <c r="L786" i="5"/>
  <c r="O786" i="5" s="1"/>
  <c r="L805" i="5"/>
  <c r="O805" i="5" s="1"/>
  <c r="K537" i="5"/>
  <c r="M685" i="5"/>
  <c r="P685" i="5" s="1"/>
  <c r="M786" i="5"/>
  <c r="P786" i="5" s="1"/>
  <c r="M805" i="5"/>
  <c r="P805" i="5" s="1"/>
  <c r="L318" i="4"/>
  <c r="O318" i="4" s="1"/>
  <c r="K79" i="4"/>
  <c r="P170" i="4"/>
  <c r="N264" i="4"/>
  <c r="P264" i="4" s="1"/>
  <c r="O641" i="4"/>
  <c r="J143" i="4"/>
  <c r="J131" i="4" s="1"/>
  <c r="L230" i="4"/>
  <c r="K360" i="4"/>
  <c r="J364" i="4"/>
  <c r="L404" i="4"/>
  <c r="O404" i="4" s="1"/>
  <c r="K593" i="4"/>
  <c r="J722" i="4"/>
  <c r="K821" i="4"/>
  <c r="K824" i="4"/>
  <c r="K827" i="4"/>
  <c r="O336" i="3"/>
  <c r="I434" i="3"/>
  <c r="K434" i="3" s="1"/>
  <c r="I628" i="3"/>
  <c r="K628" i="3" s="1"/>
  <c r="L231" i="4"/>
  <c r="M279" i="4"/>
  <c r="M277" i="4" s="1"/>
  <c r="P277" i="4" s="1"/>
  <c r="L283" i="4"/>
  <c r="O283" i="4" s="1"/>
  <c r="M392" i="4"/>
  <c r="P392" i="4" s="1"/>
  <c r="L395" i="4"/>
  <c r="O395" i="4" s="1"/>
  <c r="N56" i="4"/>
  <c r="O56" i="4" s="1"/>
  <c r="I148" i="3"/>
  <c r="K148" i="3" s="1"/>
  <c r="O280" i="3"/>
  <c r="L187" i="4"/>
  <c r="O187" i="4" s="1"/>
  <c r="L228" i="4"/>
  <c r="N405" i="4"/>
  <c r="O137" i="3"/>
  <c r="K362" i="4"/>
  <c r="N68" i="1"/>
  <c r="N66" i="1" s="1"/>
  <c r="I197" i="3"/>
  <c r="K197" i="3" s="1"/>
  <c r="K204" i="3"/>
  <c r="P394" i="3"/>
  <c r="M392" i="3"/>
  <c r="P392" i="3" s="1"/>
  <c r="K435" i="3"/>
  <c r="I433" i="3"/>
  <c r="I417" i="3" s="1"/>
  <c r="N91" i="4"/>
  <c r="O91" i="4" s="1"/>
  <c r="O93" i="4"/>
  <c r="O124" i="4"/>
  <c r="L122" i="4"/>
  <c r="O122" i="4" s="1"/>
  <c r="K146" i="4"/>
  <c r="K204" i="4"/>
  <c r="M317" i="4"/>
  <c r="P317" i="4" s="1"/>
  <c r="P320" i="4"/>
  <c r="O336" i="4"/>
  <c r="L330" i="4"/>
  <c r="L328" i="4" s="1"/>
  <c r="L334" i="4"/>
  <c r="O334" i="4" s="1"/>
  <c r="N90" i="4"/>
  <c r="P336" i="4"/>
  <c r="M334" i="4"/>
  <c r="P334" i="4" s="1"/>
  <c r="P353" i="4"/>
  <c r="M351" i="4"/>
  <c r="P351" i="4" s="1"/>
  <c r="L392" i="4"/>
  <c r="O392" i="4" s="1"/>
  <c r="P173" i="3"/>
  <c r="M171" i="3"/>
  <c r="P171" i="3" s="1"/>
  <c r="O49" i="4"/>
  <c r="L47" i="4"/>
  <c r="O47" i="4" s="1"/>
  <c r="K193" i="4"/>
  <c r="I190" i="4"/>
  <c r="K190" i="4" s="1"/>
  <c r="P93" i="4"/>
  <c r="M91" i="4"/>
  <c r="O173" i="4"/>
  <c r="L171" i="4"/>
  <c r="O171" i="4" s="1"/>
  <c r="I130" i="3"/>
  <c r="K130" i="3" s="1"/>
  <c r="K146" i="3"/>
  <c r="N348" i="3"/>
  <c r="O348" i="3" s="1"/>
  <c r="N347" i="3"/>
  <c r="N345" i="3" s="1"/>
  <c r="O74" i="4"/>
  <c r="L68" i="4"/>
  <c r="O68" i="4" s="1"/>
  <c r="K98" i="4"/>
  <c r="I86" i="4"/>
  <c r="K86" i="4" s="1"/>
  <c r="P189" i="4"/>
  <c r="M187" i="4"/>
  <c r="P187" i="4" s="1"/>
  <c r="L279" i="4"/>
  <c r="O282" i="4"/>
  <c r="L280" i="4"/>
  <c r="O280" i="4" s="1"/>
  <c r="M330" i="4"/>
  <c r="M328" i="4" s="1"/>
  <c r="M348" i="4"/>
  <c r="N348" i="4"/>
  <c r="O348" i="4" s="1"/>
  <c r="O350" i="4"/>
  <c r="O431" i="4"/>
  <c r="L429" i="4"/>
  <c r="O429" i="4" s="1"/>
  <c r="L533" i="4"/>
  <c r="O533" i="4" s="1"/>
  <c r="L688" i="4"/>
  <c r="O688" i="4" s="1"/>
  <c r="O690" i="4"/>
  <c r="P323" i="4"/>
  <c r="M321" i="4"/>
  <c r="P321" i="4" s="1"/>
  <c r="L447" i="3"/>
  <c r="O447" i="3" s="1"/>
  <c r="I443" i="3"/>
  <c r="K443" i="3" s="1"/>
  <c r="K462" i="3"/>
  <c r="M43" i="4"/>
  <c r="M41" i="4" s="1"/>
  <c r="P157" i="4"/>
  <c r="M155" i="4"/>
  <c r="P155" i="4" s="1"/>
  <c r="K271" i="4"/>
  <c r="I260" i="4"/>
  <c r="K260" i="4" s="1"/>
  <c r="K372" i="4"/>
  <c r="K651" i="4"/>
  <c r="I628" i="4"/>
  <c r="K628" i="4" s="1"/>
  <c r="M151" i="3"/>
  <c r="M149" i="3" s="1"/>
  <c r="M279" i="3"/>
  <c r="M277" i="3" s="1"/>
  <c r="N26" i="4"/>
  <c r="N16" i="4" s="1"/>
  <c r="K379" i="2"/>
  <c r="L525" i="3"/>
  <c r="L523" i="3" s="1"/>
  <c r="O523" i="3" s="1"/>
  <c r="L138" i="4"/>
  <c r="O138" i="4" s="1"/>
  <c r="M134" i="4"/>
  <c r="P134" i="4" s="1"/>
  <c r="K144" i="4"/>
  <c r="L198" i="4"/>
  <c r="O198" i="4" s="1"/>
  <c r="I297" i="4"/>
  <c r="K297" i="4" s="1"/>
  <c r="M300" i="4"/>
  <c r="P300" i="4" s="1"/>
  <c r="K359" i="4"/>
  <c r="K381" i="4"/>
  <c r="L36" i="4"/>
  <c r="O36" i="4" s="1"/>
  <c r="I86" i="3"/>
  <c r="K86" i="3" s="1"/>
  <c r="I76" i="4"/>
  <c r="M122" i="4"/>
  <c r="P122" i="4" s="1"/>
  <c r="O170" i="4"/>
  <c r="L183" i="4"/>
  <c r="L181" i="4" s="1"/>
  <c r="O186" i="4"/>
  <c r="L238" i="4"/>
  <c r="O238" i="4" s="1"/>
  <c r="K355" i="4"/>
  <c r="K374" i="4"/>
  <c r="M391" i="4"/>
  <c r="I434" i="4"/>
  <c r="K434" i="4" s="1"/>
  <c r="K822" i="4"/>
  <c r="K828" i="4"/>
  <c r="O96" i="4"/>
  <c r="I112" i="4"/>
  <c r="K112" i="4" s="1"/>
  <c r="O184" i="4"/>
  <c r="P186" i="4"/>
  <c r="P282" i="4"/>
  <c r="L391" i="4"/>
  <c r="O407" i="4"/>
  <c r="L33" i="4"/>
  <c r="O33" i="4" s="1"/>
  <c r="P331" i="3"/>
  <c r="L9" i="4"/>
  <c r="O12" i="4"/>
  <c r="L43" i="3"/>
  <c r="L41" i="3" s="1"/>
  <c r="I77" i="3"/>
  <c r="K77" i="3" s="1"/>
  <c r="K100" i="3"/>
  <c r="L134" i="3"/>
  <c r="L132" i="3" s="1"/>
  <c r="L198" i="3"/>
  <c r="O198" i="3" s="1"/>
  <c r="L209" i="3"/>
  <c r="O209" i="3" s="1"/>
  <c r="N317" i="3"/>
  <c r="N315" i="3" s="1"/>
  <c r="I592" i="3"/>
  <c r="K592" i="3" s="1"/>
  <c r="M23" i="4"/>
  <c r="P32" i="4"/>
  <c r="M29" i="4"/>
  <c r="M31" i="4"/>
  <c r="P31" i="4" s="1"/>
  <c r="M12" i="4"/>
  <c r="O42" i="4"/>
  <c r="P49" i="4"/>
  <c r="N69" i="4"/>
  <c r="N68" i="4"/>
  <c r="N66" i="4" s="1"/>
  <c r="M171" i="4"/>
  <c r="P171" i="4" s="1"/>
  <c r="P19" i="4"/>
  <c r="P173" i="2"/>
  <c r="O634" i="2"/>
  <c r="L135" i="3"/>
  <c r="O135" i="3" s="1"/>
  <c r="L231" i="3"/>
  <c r="M330" i="3"/>
  <c r="M328" i="3" s="1"/>
  <c r="K374" i="3"/>
  <c r="I559" i="3"/>
  <c r="K559" i="3" s="1"/>
  <c r="L19" i="4"/>
  <c r="N23" i="4"/>
  <c r="N44" i="4"/>
  <c r="P58" i="4"/>
  <c r="O61" i="4"/>
  <c r="L26" i="4"/>
  <c r="L24" i="4" s="1"/>
  <c r="L121" i="4"/>
  <c r="L125" i="4"/>
  <c r="O125" i="4" s="1"/>
  <c r="N304" i="4"/>
  <c r="N300" i="4"/>
  <c r="N298" i="4" s="1"/>
  <c r="N151" i="4"/>
  <c r="N149" i="4" s="1"/>
  <c r="N152" i="4"/>
  <c r="M26" i="3"/>
  <c r="M16" i="3" s="1"/>
  <c r="L72" i="3"/>
  <c r="O72" i="3" s="1"/>
  <c r="L122" i="3"/>
  <c r="O122" i="3" s="1"/>
  <c r="L279" i="3"/>
  <c r="L277" i="3" s="1"/>
  <c r="O301" i="3"/>
  <c r="N330" i="3"/>
  <c r="N328" i="3" s="1"/>
  <c r="M347" i="3"/>
  <c r="M345" i="3" s="1"/>
  <c r="K385" i="3"/>
  <c r="N404" i="3"/>
  <c r="N402" i="3" s="1"/>
  <c r="L408" i="3"/>
  <c r="O408" i="3" s="1"/>
  <c r="J721" i="3"/>
  <c r="K824" i="3"/>
  <c r="O25" i="4"/>
  <c r="L29" i="4"/>
  <c r="O46" i="4"/>
  <c r="M55" i="4"/>
  <c r="L59" i="4"/>
  <c r="O59" i="4" s="1"/>
  <c r="P74" i="4"/>
  <c r="M72" i="4"/>
  <c r="P72" i="4" s="1"/>
  <c r="O157" i="4"/>
  <c r="P166" i="4"/>
  <c r="P182" i="4"/>
  <c r="L264" i="4"/>
  <c r="O266" i="4"/>
  <c r="L263" i="4"/>
  <c r="O323" i="4"/>
  <c r="L321" i="4"/>
  <c r="O321" i="4" s="1"/>
  <c r="L317" i="4"/>
  <c r="I143" i="3"/>
  <c r="I131" i="3" s="1"/>
  <c r="L167" i="3"/>
  <c r="O331" i="3"/>
  <c r="O333" i="3"/>
  <c r="N15" i="4"/>
  <c r="M26" i="4"/>
  <c r="N29" i="4"/>
  <c r="N28" i="4" s="1"/>
  <c r="P36" i="4"/>
  <c r="P133" i="4"/>
  <c r="L151" i="4"/>
  <c r="N187" i="4"/>
  <c r="N183" i="4"/>
  <c r="N181" i="4" s="1"/>
  <c r="O424" i="4"/>
  <c r="L421" i="4"/>
  <c r="K671" i="1"/>
  <c r="K821" i="1"/>
  <c r="K824" i="1"/>
  <c r="K827" i="1"/>
  <c r="N300" i="2"/>
  <c r="N298" i="2" s="1"/>
  <c r="J364" i="2"/>
  <c r="K381" i="2"/>
  <c r="P410" i="2"/>
  <c r="M167" i="3"/>
  <c r="O353" i="3"/>
  <c r="K360" i="3"/>
  <c r="J364" i="3"/>
  <c r="K378" i="3"/>
  <c r="K381" i="3"/>
  <c r="I654" i="3"/>
  <c r="K654" i="3" s="1"/>
  <c r="K822" i="3"/>
  <c r="O15" i="4"/>
  <c r="O22" i="4"/>
  <c r="N43" i="4"/>
  <c r="O58" i="4"/>
  <c r="L23" i="4"/>
  <c r="L21" i="4" s="1"/>
  <c r="L55" i="4"/>
  <c r="K115" i="4"/>
  <c r="P140" i="4"/>
  <c r="M138" i="4"/>
  <c r="P138" i="4" s="1"/>
  <c r="M167" i="4"/>
  <c r="N331" i="4"/>
  <c r="P333" i="4"/>
  <c r="N330" i="4"/>
  <c r="O333" i="4"/>
  <c r="L422" i="4"/>
  <c r="O422" i="4" s="1"/>
  <c r="P25" i="4"/>
  <c r="M15" i="4"/>
  <c r="L90" i="4"/>
  <c r="K100" i="4"/>
  <c r="N134" i="4"/>
  <c r="N132" i="4" s="1"/>
  <c r="P154" i="4"/>
  <c r="M152" i="4"/>
  <c r="P152" i="4" s="1"/>
  <c r="K176" i="4"/>
  <c r="I174" i="4"/>
  <c r="K224" i="4"/>
  <c r="I216" i="4"/>
  <c r="K216" i="4" s="1"/>
  <c r="N280" i="4"/>
  <c r="N279" i="4"/>
  <c r="N277" i="4" s="1"/>
  <c r="K287" i="4"/>
  <c r="I276" i="4"/>
  <c r="K276" i="4" s="1"/>
  <c r="N317" i="4"/>
  <c r="N315" i="4" s="1"/>
  <c r="K340" i="4"/>
  <c r="N347" i="4"/>
  <c r="P350" i="4"/>
  <c r="L301" i="4"/>
  <c r="O301" i="4" s="1"/>
  <c r="L300" i="4"/>
  <c r="O300" i="4" s="1"/>
  <c r="K365" i="4"/>
  <c r="I364" i="4"/>
  <c r="K435" i="4"/>
  <c r="I433" i="4"/>
  <c r="J433" i="4"/>
  <c r="J417" i="4" s="1"/>
  <c r="O468" i="4"/>
  <c r="P266" i="4"/>
  <c r="I275" i="4"/>
  <c r="K275" i="4" s="1"/>
  <c r="J288" i="4"/>
  <c r="J275" i="4" s="1"/>
  <c r="L347" i="4"/>
  <c r="N391" i="4"/>
  <c r="N389" i="4" s="1"/>
  <c r="P445" i="4"/>
  <c r="M444" i="4"/>
  <c r="N469" i="4"/>
  <c r="N467" i="4" s="1"/>
  <c r="N414" i="4" s="1"/>
  <c r="O472" i="4"/>
  <c r="M523" i="4"/>
  <c r="P523" i="4" s="1"/>
  <c r="P525" i="4"/>
  <c r="P46" i="4"/>
  <c r="P71" i="4"/>
  <c r="M69" i="4"/>
  <c r="P69" i="4" s="1"/>
  <c r="N121" i="4"/>
  <c r="N119" i="4" s="1"/>
  <c r="P137" i="4"/>
  <c r="M135" i="4"/>
  <c r="P135" i="4" s="1"/>
  <c r="M151" i="4"/>
  <c r="P151" i="4" s="1"/>
  <c r="P269" i="4"/>
  <c r="M267" i="4"/>
  <c r="P267" i="4" s="1"/>
  <c r="M283" i="4"/>
  <c r="P283" i="4" s="1"/>
  <c r="P285" i="4"/>
  <c r="P329" i="4"/>
  <c r="N470" i="4"/>
  <c r="O470" i="4" s="1"/>
  <c r="I248" i="4"/>
  <c r="K248" i="4" s="1"/>
  <c r="L249" i="4"/>
  <c r="O249" i="4" s="1"/>
  <c r="O299" i="4"/>
  <c r="O303" i="4"/>
  <c r="P316" i="4"/>
  <c r="L351" i="4"/>
  <c r="O351" i="4" s="1"/>
  <c r="O353" i="4"/>
  <c r="M404" i="4"/>
  <c r="P407" i="4"/>
  <c r="I443" i="4"/>
  <c r="K443" i="4" s="1"/>
  <c r="K462" i="4"/>
  <c r="O479" i="4"/>
  <c r="L469" i="4"/>
  <c r="L477" i="4"/>
  <c r="O477" i="4" s="1"/>
  <c r="L167" i="4"/>
  <c r="M183" i="4"/>
  <c r="K385" i="4"/>
  <c r="L454" i="4"/>
  <c r="O454" i="4" s="1"/>
  <c r="L446" i="4"/>
  <c r="M467" i="4"/>
  <c r="P467" i="4" s="1"/>
  <c r="M502" i="4"/>
  <c r="P502" i="4" s="1"/>
  <c r="P503" i="4"/>
  <c r="K539" i="4"/>
  <c r="J537" i="4"/>
  <c r="J522" i="4" s="1"/>
  <c r="N789" i="4"/>
  <c r="P755" i="4"/>
  <c r="M754" i="4"/>
  <c r="P754" i="4" s="1"/>
  <c r="N807" i="4"/>
  <c r="N808" i="4"/>
  <c r="L526" i="4"/>
  <c r="O526" i="4" s="1"/>
  <c r="O528" i="4"/>
  <c r="L525" i="4"/>
  <c r="O525" i="4" s="1"/>
  <c r="O557" i="4"/>
  <c r="O660" i="4"/>
  <c r="L658" i="4"/>
  <c r="O658" i="4" s="1"/>
  <c r="K672" i="4"/>
  <c r="I654" i="4"/>
  <c r="K654" i="4" s="1"/>
  <c r="K674" i="4"/>
  <c r="L685" i="4"/>
  <c r="O685" i="4" s="1"/>
  <c r="O686" i="4"/>
  <c r="O771" i="4"/>
  <c r="L770" i="4"/>
  <c r="O770" i="4" s="1"/>
  <c r="I785" i="4"/>
  <c r="K785" i="4" s="1"/>
  <c r="K800" i="4"/>
  <c r="P807" i="4"/>
  <c r="M805" i="4"/>
  <c r="P805" i="4" s="1"/>
  <c r="O524" i="4"/>
  <c r="O634" i="4"/>
  <c r="K675" i="4"/>
  <c r="O738" i="4"/>
  <c r="L737" i="4"/>
  <c r="O737" i="4" s="1"/>
  <c r="P771" i="4"/>
  <c r="M770" i="4"/>
  <c r="P770" i="4" s="1"/>
  <c r="L789" i="4"/>
  <c r="O789" i="4" s="1"/>
  <c r="O791" i="4"/>
  <c r="O806" i="4"/>
  <c r="L805" i="4"/>
  <c r="O805" i="4" s="1"/>
  <c r="P184" i="4"/>
  <c r="K244" i="4"/>
  <c r="I237" i="4"/>
  <c r="L408" i="4"/>
  <c r="O408" i="4" s="1"/>
  <c r="O410" i="4"/>
  <c r="M545" i="4"/>
  <c r="L547" i="4"/>
  <c r="O547" i="4" s="1"/>
  <c r="L546" i="4"/>
  <c r="I559" i="4"/>
  <c r="M629" i="4"/>
  <c r="P629" i="4" s="1"/>
  <c r="L631" i="4"/>
  <c r="K669" i="4"/>
  <c r="P738" i="4"/>
  <c r="M737" i="4"/>
  <c r="P737" i="4" s="1"/>
  <c r="P788" i="4"/>
  <c r="M786" i="4"/>
  <c r="P786" i="4" s="1"/>
  <c r="K338" i="4"/>
  <c r="N786" i="4"/>
  <c r="N544" i="4"/>
  <c r="N629" i="4"/>
  <c r="L655" i="4"/>
  <c r="O655" i="4" s="1"/>
  <c r="O787" i="4"/>
  <c r="L786" i="4"/>
  <c r="O786" i="4" s="1"/>
  <c r="N805" i="4"/>
  <c r="L317" i="2"/>
  <c r="L315" i="2" s="1"/>
  <c r="L533" i="2"/>
  <c r="O533" i="2" s="1"/>
  <c r="L547" i="2"/>
  <c r="O547" i="2" s="1"/>
  <c r="L44" i="3"/>
  <c r="O44" i="3" s="1"/>
  <c r="O96" i="3"/>
  <c r="P127" i="3"/>
  <c r="M125" i="3"/>
  <c r="P125" i="3" s="1"/>
  <c r="I233" i="3"/>
  <c r="K233" i="3" s="1"/>
  <c r="L330" i="3"/>
  <c r="K340" i="3"/>
  <c r="K365" i="3"/>
  <c r="K379" i="3"/>
  <c r="O407" i="3"/>
  <c r="L405" i="3"/>
  <c r="O405" i="3" s="1"/>
  <c r="L404" i="3"/>
  <c r="O404" i="3" s="1"/>
  <c r="O634" i="3"/>
  <c r="L632" i="3"/>
  <c r="O632" i="3" s="1"/>
  <c r="J722" i="3"/>
  <c r="K492" i="1"/>
  <c r="L47" i="3"/>
  <c r="O47" i="3" s="1"/>
  <c r="M55" i="3"/>
  <c r="M53" i="3" s="1"/>
  <c r="M121" i="3"/>
  <c r="P121" i="3" s="1"/>
  <c r="P124" i="3"/>
  <c r="M122" i="3"/>
  <c r="P122" i="3" s="1"/>
  <c r="O189" i="3"/>
  <c r="M301" i="3"/>
  <c r="P301" i="3" s="1"/>
  <c r="M300" i="3"/>
  <c r="M298" i="3" s="1"/>
  <c r="O351" i="3"/>
  <c r="I442" i="3"/>
  <c r="K442" i="3" s="1"/>
  <c r="K460" i="3"/>
  <c r="L547" i="3"/>
  <c r="O547" i="3" s="1"/>
  <c r="L546" i="3"/>
  <c r="L544" i="3" s="1"/>
  <c r="O280" i="2"/>
  <c r="O91" i="3"/>
  <c r="L183" i="3"/>
  <c r="L181" i="3" s="1"/>
  <c r="K309" i="3"/>
  <c r="I297" i="3"/>
  <c r="K297" i="3" s="1"/>
  <c r="L317" i="3"/>
  <c r="M334" i="3"/>
  <c r="P334" i="3" s="1"/>
  <c r="J327" i="3"/>
  <c r="K327" i="3" s="1"/>
  <c r="P350" i="3"/>
  <c r="O93" i="2"/>
  <c r="O186" i="2"/>
  <c r="L228" i="2"/>
  <c r="K647" i="2"/>
  <c r="I785" i="2"/>
  <c r="K785" i="2" s="1"/>
  <c r="K823" i="2"/>
  <c r="M90" i="3"/>
  <c r="M88" i="3" s="1"/>
  <c r="M283" i="3"/>
  <c r="P283" i="3" s="1"/>
  <c r="P320" i="3"/>
  <c r="I216" i="3"/>
  <c r="K216" i="3" s="1"/>
  <c r="K224" i="3"/>
  <c r="I275" i="3"/>
  <c r="J288" i="3"/>
  <c r="J275" i="3" s="1"/>
  <c r="N69" i="3"/>
  <c r="O69" i="3" s="1"/>
  <c r="M91" i="3"/>
  <c r="P91" i="3" s="1"/>
  <c r="M94" i="3"/>
  <c r="P94" i="3" s="1"/>
  <c r="O184" i="3"/>
  <c r="M187" i="3"/>
  <c r="P187" i="3" s="1"/>
  <c r="P189" i="3"/>
  <c r="I190" i="3"/>
  <c r="K190" i="3" s="1"/>
  <c r="K193" i="3"/>
  <c r="K255" i="3"/>
  <c r="P266" i="3"/>
  <c r="M263" i="3"/>
  <c r="P263" i="3" s="1"/>
  <c r="O306" i="3"/>
  <c r="L304" i="3"/>
  <c r="O304" i="3" s="1"/>
  <c r="L347" i="3"/>
  <c r="O350" i="3"/>
  <c r="N392" i="3"/>
  <c r="N391" i="3"/>
  <c r="N389" i="3" s="1"/>
  <c r="P333" i="3"/>
  <c r="P353" i="3"/>
  <c r="L657" i="3"/>
  <c r="K828" i="3"/>
  <c r="L217" i="3"/>
  <c r="O217" i="3" s="1"/>
  <c r="K338" i="3"/>
  <c r="P351" i="3"/>
  <c r="K369" i="3"/>
  <c r="K372" i="3"/>
  <c r="J537" i="3"/>
  <c r="J522" i="3" s="1"/>
  <c r="L300" i="3"/>
  <c r="L298" i="3" s="1"/>
  <c r="L392" i="3"/>
  <c r="O392" i="3" s="1"/>
  <c r="M59" i="3"/>
  <c r="L68" i="3"/>
  <c r="L66" i="3" s="1"/>
  <c r="M152" i="3"/>
  <c r="P152" i="3" s="1"/>
  <c r="P154" i="3"/>
  <c r="O173" i="3"/>
  <c r="M183" i="3"/>
  <c r="M181" i="3" s="1"/>
  <c r="K215" i="3"/>
  <c r="N263" i="3"/>
  <c r="N261" i="3" s="1"/>
  <c r="O266" i="3"/>
  <c r="M280" i="3"/>
  <c r="P280" i="3" s="1"/>
  <c r="K287" i="3"/>
  <c r="K325" i="3"/>
  <c r="L391" i="3"/>
  <c r="O391" i="3" s="1"/>
  <c r="O479" i="3"/>
  <c r="K538" i="3"/>
  <c r="O641" i="3"/>
  <c r="L687" i="3"/>
  <c r="O687" i="3" s="1"/>
  <c r="K823" i="3"/>
  <c r="M395" i="3"/>
  <c r="P395" i="3" s="1"/>
  <c r="M347" i="2"/>
  <c r="M345" i="2" s="1"/>
  <c r="L391" i="2"/>
  <c r="L389" i="2" s="1"/>
  <c r="N121" i="3"/>
  <c r="N119" i="3" s="1"/>
  <c r="J143" i="3"/>
  <c r="J131" i="3" s="1"/>
  <c r="M155" i="3"/>
  <c r="P155" i="3" s="1"/>
  <c r="P184" i="3"/>
  <c r="L229" i="3"/>
  <c r="P282" i="3"/>
  <c r="M391" i="3"/>
  <c r="L631" i="3"/>
  <c r="O631" i="3" s="1"/>
  <c r="L658" i="3"/>
  <c r="O658" i="3" s="1"/>
  <c r="K672" i="3"/>
  <c r="O690" i="3"/>
  <c r="N55" i="3"/>
  <c r="L228" i="1"/>
  <c r="K340" i="1"/>
  <c r="N301" i="2"/>
  <c r="K309" i="2"/>
  <c r="L392" i="2"/>
  <c r="O392" i="2" s="1"/>
  <c r="K208" i="3"/>
  <c r="I237" i="3"/>
  <c r="K237" i="3" s="1"/>
  <c r="I260" i="3"/>
  <c r="K260" i="3" s="1"/>
  <c r="I364" i="3"/>
  <c r="K364" i="3" s="1"/>
  <c r="M404" i="3"/>
  <c r="J433" i="3"/>
  <c r="J417" i="3" s="1"/>
  <c r="K440" i="3"/>
  <c r="O535" i="3"/>
  <c r="K673" i="3"/>
  <c r="K355" i="3"/>
  <c r="O44" i="2"/>
  <c r="K287" i="2"/>
  <c r="N23" i="3"/>
  <c r="N21" i="3" s="1"/>
  <c r="O58" i="3"/>
  <c r="N151" i="3"/>
  <c r="N149" i="3" s="1"/>
  <c r="O154" i="3"/>
  <c r="O170" i="3"/>
  <c r="M264" i="3"/>
  <c r="P264" i="3" s="1"/>
  <c r="O285" i="3"/>
  <c r="K674" i="3"/>
  <c r="P74" i="2"/>
  <c r="M263" i="2"/>
  <c r="P263" i="2" s="1"/>
  <c r="L36" i="3"/>
  <c r="O36" i="3" s="1"/>
  <c r="M267" i="3"/>
  <c r="P267" i="3" s="1"/>
  <c r="P318" i="3"/>
  <c r="K362" i="3"/>
  <c r="K370" i="3"/>
  <c r="O528" i="3"/>
  <c r="K669" i="3"/>
  <c r="K827" i="3"/>
  <c r="M69" i="3"/>
  <c r="P71" i="3"/>
  <c r="M68" i="3"/>
  <c r="K78" i="3"/>
  <c r="I76" i="3"/>
  <c r="P89" i="3"/>
  <c r="L12" i="3"/>
  <c r="O32" i="3"/>
  <c r="L29" i="3"/>
  <c r="P133" i="3"/>
  <c r="L122" i="2"/>
  <c r="O122" i="2" s="1"/>
  <c r="O124" i="2"/>
  <c r="N264" i="2"/>
  <c r="N263" i="2"/>
  <c r="N261" i="2" s="1"/>
  <c r="M44" i="3"/>
  <c r="P44" i="3" s="1"/>
  <c r="P46" i="3"/>
  <c r="M23" i="3"/>
  <c r="M43" i="3"/>
  <c r="P54" i="3"/>
  <c r="N138" i="3"/>
  <c r="O138" i="3" s="1"/>
  <c r="O140" i="3"/>
  <c r="O157" i="3"/>
  <c r="L155" i="3"/>
  <c r="O155" i="3" s="1"/>
  <c r="L151" i="3"/>
  <c r="L26" i="3"/>
  <c r="N19" i="3"/>
  <c r="N12" i="3"/>
  <c r="L238" i="3"/>
  <c r="L228" i="3"/>
  <c r="N30" i="3"/>
  <c r="N31" i="3"/>
  <c r="P19" i="3"/>
  <c r="N59" i="3"/>
  <c r="N26" i="3"/>
  <c r="P61" i="3"/>
  <c r="N134" i="3"/>
  <c r="N167" i="2"/>
  <c r="N165" i="2" s="1"/>
  <c r="P32" i="3"/>
  <c r="M29" i="3"/>
  <c r="M31" i="3"/>
  <c r="P31" i="3" s="1"/>
  <c r="M135" i="3"/>
  <c r="P135" i="3" s="1"/>
  <c r="P137" i="3"/>
  <c r="I522" i="3"/>
  <c r="P771" i="3"/>
  <c r="M770" i="3"/>
  <c r="P770" i="3" s="1"/>
  <c r="N788" i="3"/>
  <c r="N786" i="3" s="1"/>
  <c r="N789" i="3"/>
  <c r="P278" i="3"/>
  <c r="N391" i="1"/>
  <c r="N389" i="1" s="1"/>
  <c r="M26" i="2"/>
  <c r="M24" i="2" s="1"/>
  <c r="N68" i="2"/>
  <c r="N66" i="2" s="1"/>
  <c r="M122" i="2"/>
  <c r="P122" i="2" s="1"/>
  <c r="O46" i="3"/>
  <c r="L56" i="3"/>
  <c r="O56" i="3" s="1"/>
  <c r="O71" i="3"/>
  <c r="K79" i="3"/>
  <c r="O186" i="3"/>
  <c r="K225" i="3"/>
  <c r="L263" i="3"/>
  <c r="L267" i="3"/>
  <c r="O267" i="3" s="1"/>
  <c r="P738" i="3"/>
  <c r="M737" i="3"/>
  <c r="P737" i="3" s="1"/>
  <c r="L789" i="3"/>
  <c r="O789" i="3" s="1"/>
  <c r="O791" i="3"/>
  <c r="M392" i="1"/>
  <c r="P392" i="1" s="1"/>
  <c r="M59" i="2"/>
  <c r="P59" i="2" s="1"/>
  <c r="M134" i="2"/>
  <c r="P134" i="2" s="1"/>
  <c r="L187" i="2"/>
  <c r="O187" i="2" s="1"/>
  <c r="P320" i="2"/>
  <c r="N330" i="2"/>
  <c r="N328" i="2" s="1"/>
  <c r="L347" i="2"/>
  <c r="L345" i="2" s="1"/>
  <c r="N347" i="2"/>
  <c r="N404" i="2"/>
  <c r="N402" i="2" s="1"/>
  <c r="N29" i="3"/>
  <c r="N43" i="3"/>
  <c r="L90" i="3"/>
  <c r="K99" i="3"/>
  <c r="L121" i="3"/>
  <c r="L125" i="3"/>
  <c r="O125" i="3" s="1"/>
  <c r="M134" i="3"/>
  <c r="N167" i="3"/>
  <c r="N165" i="3" s="1"/>
  <c r="K174" i="3"/>
  <c r="I164" i="3"/>
  <c r="K164" i="3" s="1"/>
  <c r="N183" i="3"/>
  <c r="P186" i="3"/>
  <c r="K437" i="3"/>
  <c r="O787" i="3"/>
  <c r="L786" i="3"/>
  <c r="O786" i="3" s="1"/>
  <c r="L55" i="1"/>
  <c r="L53" i="1" s="1"/>
  <c r="L230" i="1"/>
  <c r="I235" i="1"/>
  <c r="K235" i="1" s="1"/>
  <c r="N231" i="1"/>
  <c r="K360" i="1"/>
  <c r="K378" i="1"/>
  <c r="J582" i="1"/>
  <c r="J576" i="1" s="1"/>
  <c r="K647" i="1"/>
  <c r="K823" i="1"/>
  <c r="P46" i="2"/>
  <c r="M279" i="2"/>
  <c r="M277" i="2" s="1"/>
  <c r="M300" i="2"/>
  <c r="P300" i="2" s="1"/>
  <c r="K593" i="2"/>
  <c r="P25" i="3"/>
  <c r="L33" i="3"/>
  <c r="L31" i="3" s="1"/>
  <c r="O31" i="3" s="1"/>
  <c r="M47" i="3"/>
  <c r="P47" i="3" s="1"/>
  <c r="P49" i="3"/>
  <c r="L55" i="3"/>
  <c r="P58" i="3"/>
  <c r="O61" i="3"/>
  <c r="M72" i="3"/>
  <c r="P72" i="3" s="1"/>
  <c r="P74" i="3"/>
  <c r="O93" i="3"/>
  <c r="I112" i="3"/>
  <c r="K112" i="3" s="1"/>
  <c r="K176" i="3"/>
  <c r="N300" i="3"/>
  <c r="N298" i="3" s="1"/>
  <c r="P323" i="3"/>
  <c r="M317" i="3"/>
  <c r="N685" i="3"/>
  <c r="O264" i="3"/>
  <c r="O316" i="3"/>
  <c r="M68" i="1"/>
  <c r="M66" i="1" s="1"/>
  <c r="J675" i="1"/>
  <c r="J669" i="1" s="1"/>
  <c r="J654" i="1" s="1"/>
  <c r="O69" i="2"/>
  <c r="L94" i="2"/>
  <c r="O94" i="2" s="1"/>
  <c r="I190" i="2"/>
  <c r="K190" i="2" s="1"/>
  <c r="M12" i="3"/>
  <c r="M15" i="3"/>
  <c r="L19" i="3"/>
  <c r="L23" i="3"/>
  <c r="L21" i="3" s="1"/>
  <c r="L59" i="3"/>
  <c r="N90" i="3"/>
  <c r="P93" i="3"/>
  <c r="K115" i="3"/>
  <c r="M138" i="3"/>
  <c r="P140" i="3"/>
  <c r="K144" i="3"/>
  <c r="K244" i="3"/>
  <c r="L249" i="3"/>
  <c r="O249" i="3" s="1"/>
  <c r="M321" i="3"/>
  <c r="P321" i="3" s="1"/>
  <c r="K359" i="3"/>
  <c r="N467" i="3"/>
  <c r="O806" i="3"/>
  <c r="L805" i="3"/>
  <c r="O805" i="3" s="1"/>
  <c r="K465" i="3"/>
  <c r="M467" i="3"/>
  <c r="O549" i="3"/>
  <c r="N546" i="3"/>
  <c r="N547" i="3"/>
  <c r="P755" i="3"/>
  <c r="M754" i="3"/>
  <c r="P754" i="3" s="1"/>
  <c r="M786" i="3"/>
  <c r="P786" i="3" s="1"/>
  <c r="L318" i="3"/>
  <c r="O318" i="3" s="1"/>
  <c r="O320" i="3"/>
  <c r="O449" i="3"/>
  <c r="N446" i="3"/>
  <c r="N447" i="3"/>
  <c r="O686" i="3"/>
  <c r="L737" i="3"/>
  <c r="O737" i="3" s="1"/>
  <c r="N754" i="3"/>
  <c r="L770" i="3"/>
  <c r="O770" i="3" s="1"/>
  <c r="N279" i="3"/>
  <c r="O282" i="3"/>
  <c r="O303" i="3"/>
  <c r="L321" i="3"/>
  <c r="O321" i="3" s="1"/>
  <c r="O323" i="3"/>
  <c r="O431" i="3"/>
  <c r="L421" i="3"/>
  <c r="O421" i="3" s="1"/>
  <c r="O503" i="3"/>
  <c r="L502" i="3"/>
  <c r="O502" i="3" s="1"/>
  <c r="N523" i="3"/>
  <c r="K577" i="3"/>
  <c r="I785" i="3"/>
  <c r="K785" i="3" s="1"/>
  <c r="K800" i="3"/>
  <c r="K821" i="3"/>
  <c r="P303" i="3"/>
  <c r="P306" i="3"/>
  <c r="P407" i="3"/>
  <c r="P410" i="3"/>
  <c r="L469" i="3"/>
  <c r="N183" i="1"/>
  <c r="N181" i="1" s="1"/>
  <c r="P186" i="1"/>
  <c r="O189" i="1"/>
  <c r="L231" i="1"/>
  <c r="I236" i="1"/>
  <c r="L33" i="2"/>
  <c r="I87" i="2"/>
  <c r="K87" i="2" s="1"/>
  <c r="M125" i="2"/>
  <c r="P125" i="2" s="1"/>
  <c r="I216" i="2"/>
  <c r="K216" i="2" s="1"/>
  <c r="I443" i="2"/>
  <c r="K443" i="2" s="1"/>
  <c r="L657" i="2"/>
  <c r="O657" i="2" s="1"/>
  <c r="L687" i="2"/>
  <c r="L685" i="2" s="1"/>
  <c r="O685" i="2" s="1"/>
  <c r="O690" i="2"/>
  <c r="J722" i="2"/>
  <c r="N55" i="1"/>
  <c r="N53" i="1" s="1"/>
  <c r="M69" i="1"/>
  <c r="M72" i="1"/>
  <c r="P72" i="1" s="1"/>
  <c r="L90" i="2"/>
  <c r="L88" i="2" s="1"/>
  <c r="L167" i="2"/>
  <c r="O167" i="2" s="1"/>
  <c r="L183" i="2"/>
  <c r="L181" i="2" s="1"/>
  <c r="M351" i="2"/>
  <c r="K355" i="2"/>
  <c r="K675" i="2"/>
  <c r="L422" i="2"/>
  <c r="O422" i="2" s="1"/>
  <c r="L94" i="1"/>
  <c r="O94" i="1" s="1"/>
  <c r="J327" i="1"/>
  <c r="K327" i="1" s="1"/>
  <c r="N90" i="2"/>
  <c r="N88" i="2" s="1"/>
  <c r="M135" i="2"/>
  <c r="P135" i="2" s="1"/>
  <c r="I148" i="2"/>
  <c r="K148" i="2" s="1"/>
  <c r="N151" i="2"/>
  <c r="N149" i="2" s="1"/>
  <c r="L168" i="2"/>
  <c r="O168" i="2" s="1"/>
  <c r="N183" i="2"/>
  <c r="N181" i="2" s="1"/>
  <c r="J327" i="2"/>
  <c r="K327" i="2" s="1"/>
  <c r="K372" i="2"/>
  <c r="O170" i="1"/>
  <c r="N55" i="2"/>
  <c r="N53" i="2" s="1"/>
  <c r="L55" i="2"/>
  <c r="L53" i="2" s="1"/>
  <c r="M68" i="2"/>
  <c r="M138" i="2"/>
  <c r="P138" i="2" s="1"/>
  <c r="O140" i="2"/>
  <c r="I174" i="2"/>
  <c r="I164" i="2" s="1"/>
  <c r="K164" i="2" s="1"/>
  <c r="L231" i="2"/>
  <c r="M264" i="2"/>
  <c r="P264" i="2" s="1"/>
  <c r="M267" i="2"/>
  <c r="P267" i="2" s="1"/>
  <c r="M304" i="2"/>
  <c r="P304" i="2" s="1"/>
  <c r="I314" i="2"/>
  <c r="K314" i="2" s="1"/>
  <c r="L318" i="2"/>
  <c r="O318" i="2" s="1"/>
  <c r="M392" i="2"/>
  <c r="P392" i="2" s="1"/>
  <c r="L36" i="2"/>
  <c r="L34" i="2" s="1"/>
  <c r="O34" i="2" s="1"/>
  <c r="K651" i="2"/>
  <c r="K669" i="2"/>
  <c r="K338" i="1"/>
  <c r="M391" i="1"/>
  <c r="M389" i="1" s="1"/>
  <c r="K483" i="1"/>
  <c r="M47" i="2"/>
  <c r="P47" i="2" s="1"/>
  <c r="O74" i="2"/>
  <c r="P96" i="2"/>
  <c r="N121" i="2"/>
  <c r="N119" i="2" s="1"/>
  <c r="P189" i="2"/>
  <c r="K338" i="2"/>
  <c r="K362" i="2"/>
  <c r="J537" i="2"/>
  <c r="K537" i="2" s="1"/>
  <c r="O191" i="1"/>
  <c r="I112" i="2"/>
  <c r="K112" i="2" s="1"/>
  <c r="N134" i="2"/>
  <c r="N132" i="2" s="1"/>
  <c r="M152" i="2"/>
  <c r="P152" i="2" s="1"/>
  <c r="N168" i="2"/>
  <c r="L279" i="2"/>
  <c r="L277" i="2" s="1"/>
  <c r="K365" i="2"/>
  <c r="I364" i="2"/>
  <c r="K460" i="2"/>
  <c r="I442" i="2"/>
  <c r="K442" i="2" s="1"/>
  <c r="K538" i="2"/>
  <c r="J465" i="1"/>
  <c r="K465" i="1" s="1"/>
  <c r="P333" i="1"/>
  <c r="K379" i="1"/>
  <c r="L469" i="1"/>
  <c r="L467" i="1" s="1"/>
  <c r="L477" i="1"/>
  <c r="O477" i="1" s="1"/>
  <c r="M69" i="2"/>
  <c r="P69" i="2" s="1"/>
  <c r="L121" i="2"/>
  <c r="O121" i="2" s="1"/>
  <c r="M155" i="2"/>
  <c r="P155" i="2" s="1"/>
  <c r="M167" i="2"/>
  <c r="P170" i="2"/>
  <c r="M184" i="2"/>
  <c r="P184" i="2" s="1"/>
  <c r="P186" i="2"/>
  <c r="M183" i="2"/>
  <c r="K215" i="2"/>
  <c r="I208" i="2"/>
  <c r="K208" i="2" s="1"/>
  <c r="K378" i="2"/>
  <c r="N392" i="2"/>
  <c r="N391" i="2"/>
  <c r="N389" i="2" s="1"/>
  <c r="P397" i="2"/>
  <c r="M395" i="2"/>
  <c r="M391" i="2"/>
  <c r="M389" i="2" s="1"/>
  <c r="M408" i="2"/>
  <c r="P408" i="2" s="1"/>
  <c r="I434" i="2"/>
  <c r="K434" i="2" s="1"/>
  <c r="J721" i="2"/>
  <c r="P407" i="2"/>
  <c r="M404" i="2"/>
  <c r="L33" i="1"/>
  <c r="L31" i="1" s="1"/>
  <c r="N56" i="2"/>
  <c r="O56" i="2" s="1"/>
  <c r="L151" i="1"/>
  <c r="L149" i="1" s="1"/>
  <c r="L229" i="1"/>
  <c r="I233" i="1"/>
  <c r="J235" i="1"/>
  <c r="M263" i="1"/>
  <c r="M261" i="1" s="1"/>
  <c r="L279" i="1"/>
  <c r="L277" i="1" s="1"/>
  <c r="K374" i="1"/>
  <c r="M43" i="2"/>
  <c r="M41" i="2" s="1"/>
  <c r="O71" i="2"/>
  <c r="L91" i="2"/>
  <c r="O91" i="2" s="1"/>
  <c r="M121" i="2"/>
  <c r="J143" i="2"/>
  <c r="J131" i="2" s="1"/>
  <c r="L171" i="2"/>
  <c r="O171" i="2" s="1"/>
  <c r="L217" i="2"/>
  <c r="O217" i="2" s="1"/>
  <c r="I233" i="2"/>
  <c r="K233" i="2" s="1"/>
  <c r="K244" i="2"/>
  <c r="N279" i="2"/>
  <c r="N277" i="2" s="1"/>
  <c r="O323" i="2"/>
  <c r="N122" i="2"/>
  <c r="L301" i="2"/>
  <c r="O301" i="2" s="1"/>
  <c r="O303" i="2"/>
  <c r="P333" i="2"/>
  <c r="M330" i="2"/>
  <c r="M328" i="2" s="1"/>
  <c r="N347" i="1"/>
  <c r="N345" i="1" s="1"/>
  <c r="K223" i="1"/>
  <c r="O320" i="1"/>
  <c r="K495" i="1"/>
  <c r="J708" i="1"/>
  <c r="K728" i="1"/>
  <c r="M44" i="2"/>
  <c r="P44" i="2" s="1"/>
  <c r="O58" i="2"/>
  <c r="L68" i="2"/>
  <c r="K98" i="2"/>
  <c r="O137" i="2"/>
  <c r="L184" i="2"/>
  <c r="O184" i="2" s="1"/>
  <c r="I260" i="2"/>
  <c r="K260" i="2" s="1"/>
  <c r="K271" i="2"/>
  <c r="L300" i="2"/>
  <c r="O300" i="2" s="1"/>
  <c r="N317" i="2"/>
  <c r="N315" i="2" s="1"/>
  <c r="M321" i="2"/>
  <c r="P321" i="2" s="1"/>
  <c r="M317" i="2"/>
  <c r="M315" i="2" s="1"/>
  <c r="P323" i="2"/>
  <c r="K340" i="2"/>
  <c r="L469" i="2"/>
  <c r="L467" i="2" s="1"/>
  <c r="O467" i="2" s="1"/>
  <c r="O479" i="2"/>
  <c r="K576" i="2"/>
  <c r="I559" i="2"/>
  <c r="I543" i="2" s="1"/>
  <c r="K543" i="2" s="1"/>
  <c r="I628" i="2"/>
  <c r="K628" i="2" s="1"/>
  <c r="J194" i="1"/>
  <c r="K214" i="1"/>
  <c r="N217" i="1"/>
  <c r="K437" i="1"/>
  <c r="L134" i="2"/>
  <c r="L132" i="2" s="1"/>
  <c r="O132" i="2" s="1"/>
  <c r="M151" i="2"/>
  <c r="L151" i="2"/>
  <c r="O151" i="2" s="1"/>
  <c r="L330" i="2"/>
  <c r="L328" i="2" s="1"/>
  <c r="O336" i="2"/>
  <c r="K385" i="2"/>
  <c r="L408" i="2"/>
  <c r="O408" i="2" s="1"/>
  <c r="O410" i="2"/>
  <c r="K822" i="2"/>
  <c r="K828" i="2"/>
  <c r="L198" i="2"/>
  <c r="O198" i="2" s="1"/>
  <c r="L209" i="2"/>
  <c r="O209" i="2" s="1"/>
  <c r="L249" i="2"/>
  <c r="O249" i="2" s="1"/>
  <c r="K360" i="2"/>
  <c r="K374" i="2"/>
  <c r="L238" i="2"/>
  <c r="O238" i="2" s="1"/>
  <c r="O320" i="2"/>
  <c r="K673" i="2"/>
  <c r="K821" i="2"/>
  <c r="K824" i="2"/>
  <c r="K827" i="2"/>
  <c r="L229" i="2"/>
  <c r="L230" i="2"/>
  <c r="K369" i="2"/>
  <c r="N15" i="2"/>
  <c r="O54" i="2"/>
  <c r="I76" i="2"/>
  <c r="K80" i="2"/>
  <c r="L264" i="2"/>
  <c r="O266" i="2"/>
  <c r="O278" i="2"/>
  <c r="P329" i="2"/>
  <c r="I76" i="1"/>
  <c r="I64" i="1" s="1"/>
  <c r="L454" i="1"/>
  <c r="O454" i="1" s="1"/>
  <c r="K541" i="1"/>
  <c r="M19" i="2"/>
  <c r="N30" i="2"/>
  <c r="M90" i="2"/>
  <c r="P93" i="2"/>
  <c r="O299" i="2"/>
  <c r="M331" i="1"/>
  <c r="M334" i="1"/>
  <c r="P334" i="1" s="1"/>
  <c r="K800" i="1"/>
  <c r="N19" i="2"/>
  <c r="N29" i="2"/>
  <c r="N28" i="2" s="1"/>
  <c r="N31" i="2"/>
  <c r="L43" i="2"/>
  <c r="L152" i="2"/>
  <c r="O152" i="2" s="1"/>
  <c r="O154" i="2"/>
  <c r="L267" i="2"/>
  <c r="O267" i="2" s="1"/>
  <c r="O269" i="2"/>
  <c r="N544" i="2"/>
  <c r="N26" i="1"/>
  <c r="N24" i="1" s="1"/>
  <c r="M90" i="1"/>
  <c r="M88" i="1" s="1"/>
  <c r="K98" i="1"/>
  <c r="K115" i="1"/>
  <c r="P170" i="1"/>
  <c r="N230" i="1"/>
  <c r="O321" i="1"/>
  <c r="O408" i="1"/>
  <c r="K438" i="1"/>
  <c r="N660" i="1"/>
  <c r="O660" i="1" s="1"/>
  <c r="P22" i="2"/>
  <c r="N26" i="2"/>
  <c r="N16" i="2" s="1"/>
  <c r="O46" i="2"/>
  <c r="P58" i="2"/>
  <c r="M23" i="2"/>
  <c r="M21" i="2" s="1"/>
  <c r="O61" i="2"/>
  <c r="O127" i="2"/>
  <c r="L155" i="2"/>
  <c r="O155" i="2" s="1"/>
  <c r="O157" i="2"/>
  <c r="J288" i="2"/>
  <c r="J275" i="2" s="1"/>
  <c r="I275" i="2"/>
  <c r="O316" i="2"/>
  <c r="I417" i="2"/>
  <c r="O32" i="2"/>
  <c r="L29" i="2"/>
  <c r="L36" i="1"/>
  <c r="J112" i="1"/>
  <c r="P184" i="1"/>
  <c r="K193" i="1"/>
  <c r="K290" i="1"/>
  <c r="K294" i="1"/>
  <c r="M304" i="1"/>
  <c r="P304" i="1" s="1"/>
  <c r="K311" i="1"/>
  <c r="P350" i="1"/>
  <c r="P353" i="1"/>
  <c r="K359" i="1"/>
  <c r="P397" i="1"/>
  <c r="K439" i="1"/>
  <c r="J604" i="1"/>
  <c r="J621" i="1"/>
  <c r="L12" i="2"/>
  <c r="L23" i="2"/>
  <c r="O25" i="2"/>
  <c r="L15" i="2"/>
  <c r="N43" i="2"/>
  <c r="L26" i="2"/>
  <c r="L24" i="2" s="1"/>
  <c r="L47" i="2"/>
  <c r="O47" i="2" s="1"/>
  <c r="P91" i="2"/>
  <c r="L263" i="2"/>
  <c r="K83" i="1"/>
  <c r="L152" i="1"/>
  <c r="O152" i="1" s="1"/>
  <c r="L168" i="1"/>
  <c r="O168" i="1" s="1"/>
  <c r="K462" i="1"/>
  <c r="K540" i="1"/>
  <c r="K649" i="1"/>
  <c r="L657" i="1"/>
  <c r="L655" i="1" s="1"/>
  <c r="K723" i="1"/>
  <c r="L788" i="1"/>
  <c r="O788" i="1" s="1"/>
  <c r="M12" i="2"/>
  <c r="P15" i="2"/>
  <c r="N23" i="2"/>
  <c r="P29" i="2"/>
  <c r="P33" i="2"/>
  <c r="M30" i="2"/>
  <c r="P30" i="2" s="1"/>
  <c r="M55" i="2"/>
  <c r="I77" i="2"/>
  <c r="K83" i="2"/>
  <c r="N227" i="2"/>
  <c r="M280" i="2"/>
  <c r="P280" i="2" s="1"/>
  <c r="P282" i="2"/>
  <c r="M283" i="2"/>
  <c r="P283" i="2" s="1"/>
  <c r="P285" i="2"/>
  <c r="L429" i="2"/>
  <c r="O429" i="2" s="1"/>
  <c r="O431" i="2"/>
  <c r="L421" i="2"/>
  <c r="P71" i="2"/>
  <c r="O306" i="2"/>
  <c r="O333" i="2"/>
  <c r="N331" i="2"/>
  <c r="P331" i="2" s="1"/>
  <c r="P390" i="2"/>
  <c r="O472" i="2"/>
  <c r="N469" i="2"/>
  <c r="N467" i="2" s="1"/>
  <c r="N685" i="2"/>
  <c r="I143" i="2"/>
  <c r="I248" i="2"/>
  <c r="O282" i="2"/>
  <c r="O285" i="2"/>
  <c r="P318" i="2"/>
  <c r="P350" i="2"/>
  <c r="L404" i="2"/>
  <c r="O407" i="2"/>
  <c r="M467" i="2"/>
  <c r="P467" i="2" s="1"/>
  <c r="P739" i="2"/>
  <c r="M737" i="2"/>
  <c r="P737" i="2" s="1"/>
  <c r="L786" i="2"/>
  <c r="O786" i="2" s="1"/>
  <c r="L789" i="2"/>
  <c r="O789" i="2" s="1"/>
  <c r="O791" i="2"/>
  <c r="O350" i="2"/>
  <c r="N348" i="2"/>
  <c r="M414" i="2"/>
  <c r="P414" i="2" s="1"/>
  <c r="P419" i="2"/>
  <c r="N444" i="2"/>
  <c r="N414" i="2" s="1"/>
  <c r="L526" i="2"/>
  <c r="O526" i="2" s="1"/>
  <c r="O528" i="2"/>
  <c r="O738" i="2"/>
  <c r="L737" i="2"/>
  <c r="O737" i="2" s="1"/>
  <c r="P756" i="2"/>
  <c r="M754" i="2"/>
  <c r="P754" i="2" s="1"/>
  <c r="N807" i="2"/>
  <c r="N805" i="2" s="1"/>
  <c r="N808" i="2"/>
  <c r="K146" i="2"/>
  <c r="I197" i="2"/>
  <c r="K197" i="2" s="1"/>
  <c r="P353" i="2"/>
  <c r="K359" i="2"/>
  <c r="K370" i="2"/>
  <c r="O397" i="2"/>
  <c r="N395" i="2"/>
  <c r="P545" i="2"/>
  <c r="O557" i="2"/>
  <c r="L546" i="2"/>
  <c r="L555" i="2"/>
  <c r="O555" i="2" s="1"/>
  <c r="K577" i="2"/>
  <c r="L639" i="2"/>
  <c r="O639" i="2" s="1"/>
  <c r="O641" i="2"/>
  <c r="L631" i="2"/>
  <c r="O755" i="2"/>
  <c r="L754" i="2"/>
  <c r="O754" i="2" s="1"/>
  <c r="N786" i="2"/>
  <c r="O321" i="2"/>
  <c r="O353" i="2"/>
  <c r="N351" i="2"/>
  <c r="P420" i="2"/>
  <c r="K435" i="2"/>
  <c r="J433" i="2"/>
  <c r="J417" i="2" s="1"/>
  <c r="L454" i="2"/>
  <c r="O454" i="2" s="1"/>
  <c r="O456" i="2"/>
  <c r="L446" i="2"/>
  <c r="L525" i="2"/>
  <c r="O771" i="2"/>
  <c r="L770" i="2"/>
  <c r="O770" i="2" s="1"/>
  <c r="M334" i="2"/>
  <c r="P334" i="2" s="1"/>
  <c r="O403" i="2"/>
  <c r="P468" i="2"/>
  <c r="P503" i="2"/>
  <c r="O656" i="2"/>
  <c r="K674" i="2"/>
  <c r="N688" i="2"/>
  <c r="I654" i="2"/>
  <c r="K654" i="2" s="1"/>
  <c r="L658" i="2"/>
  <c r="O658" i="2" s="1"/>
  <c r="P127" i="1"/>
  <c r="K159" i="1"/>
  <c r="L167" i="1"/>
  <c r="L165" i="1" s="1"/>
  <c r="L198" i="1"/>
  <c r="N229" i="1"/>
  <c r="J226" i="1"/>
  <c r="J180" i="1" s="1"/>
  <c r="M279" i="1"/>
  <c r="M277" i="1" s="1"/>
  <c r="K287" i="1"/>
  <c r="K440" i="1"/>
  <c r="N549" i="1"/>
  <c r="N547" i="1" s="1"/>
  <c r="O547" i="1" s="1"/>
  <c r="K628" i="1"/>
  <c r="K78" i="1"/>
  <c r="K81" i="1"/>
  <c r="K297" i="1"/>
  <c r="L404" i="1"/>
  <c r="L402" i="1" s="1"/>
  <c r="N404" i="1"/>
  <c r="N402" i="1" s="1"/>
  <c r="K433" i="1"/>
  <c r="I434" i="1"/>
  <c r="I418" i="1" s="1"/>
  <c r="J568" i="1"/>
  <c r="K568" i="1" s="1"/>
  <c r="J722" i="1"/>
  <c r="K722" i="1" s="1"/>
  <c r="P91" i="1"/>
  <c r="K113" i="1"/>
  <c r="N121" i="1"/>
  <c r="N119" i="1" s="1"/>
  <c r="K176" i="1"/>
  <c r="P264" i="1"/>
  <c r="M267" i="1"/>
  <c r="P267" i="1" s="1"/>
  <c r="K312" i="1"/>
  <c r="L317" i="1"/>
  <c r="L315" i="1" s="1"/>
  <c r="K385" i="1"/>
  <c r="K400" i="1"/>
  <c r="K412" i="1"/>
  <c r="J434" i="1"/>
  <c r="J418" i="1" s="1"/>
  <c r="N528" i="1"/>
  <c r="O528" i="1" s="1"/>
  <c r="L789" i="1"/>
  <c r="O789" i="1" s="1"/>
  <c r="M26" i="1"/>
  <c r="M16" i="1" s="1"/>
  <c r="M14" i="1" s="1"/>
  <c r="N198" i="1"/>
  <c r="K246" i="1"/>
  <c r="J236" i="1"/>
  <c r="K314" i="1"/>
  <c r="N449" i="1"/>
  <c r="N447" i="1" s="1"/>
  <c r="O447" i="1" s="1"/>
  <c r="J603" i="1"/>
  <c r="N791" i="1"/>
  <c r="N788" i="1" s="1"/>
  <c r="N786" i="1" s="1"/>
  <c r="K826" i="1"/>
  <c r="M55" i="1"/>
  <c r="J77" i="1"/>
  <c r="J65" i="1" s="1"/>
  <c r="K106" i="1"/>
  <c r="K110" i="1"/>
  <c r="M151" i="1"/>
  <c r="M149" i="1" s="1"/>
  <c r="L183" i="1"/>
  <c r="L300" i="1"/>
  <c r="L298" i="1" s="1"/>
  <c r="L304" i="1"/>
  <c r="O304" i="1" s="1"/>
  <c r="M330" i="1"/>
  <c r="M328" i="1" s="1"/>
  <c r="N330" i="1"/>
  <c r="N328" i="1" s="1"/>
  <c r="K355" i="1"/>
  <c r="K370" i="1"/>
  <c r="N392" i="1"/>
  <c r="L421" i="1"/>
  <c r="L419" i="1" s="1"/>
  <c r="L429" i="1"/>
  <c r="O429" i="1" s="1"/>
  <c r="K435" i="1"/>
  <c r="K670" i="1"/>
  <c r="P46" i="1"/>
  <c r="L264" i="1"/>
  <c r="O264" i="1" s="1"/>
  <c r="L263" i="1"/>
  <c r="L261" i="1" s="1"/>
  <c r="N43" i="1"/>
  <c r="N41" i="1" s="1"/>
  <c r="L56" i="1"/>
  <c r="O56" i="1" s="1"/>
  <c r="O58" i="1"/>
  <c r="N59" i="1"/>
  <c r="O59" i="1" s="1"/>
  <c r="O61" i="1"/>
  <c r="K103" i="1"/>
  <c r="N138" i="1"/>
  <c r="P138" i="1" s="1"/>
  <c r="O140" i="1"/>
  <c r="P157" i="1"/>
  <c r="M155" i="1"/>
  <c r="P155" i="1" s="1"/>
  <c r="P321" i="1"/>
  <c r="P173" i="1"/>
  <c r="K215" i="1"/>
  <c r="I208" i="1"/>
  <c r="K208" i="1" s="1"/>
  <c r="M44" i="1"/>
  <c r="P32" i="1"/>
  <c r="N23" i="1"/>
  <c r="M43" i="1"/>
  <c r="M41" i="1" s="1"/>
  <c r="L91" i="1"/>
  <c r="O91" i="1" s="1"/>
  <c r="L90" i="1"/>
  <c r="L88" i="1" s="1"/>
  <c r="P61" i="1"/>
  <c r="M59" i="1"/>
  <c r="K87" i="1"/>
  <c r="M121" i="1"/>
  <c r="P124" i="1"/>
  <c r="M122" i="1"/>
  <c r="P122" i="1" s="1"/>
  <c r="P49" i="1"/>
  <c r="M47" i="1"/>
  <c r="P47" i="1" s="1"/>
  <c r="K79" i="1"/>
  <c r="I77" i="1"/>
  <c r="K82" i="1"/>
  <c r="K109" i="1"/>
  <c r="P152" i="1"/>
  <c r="M187" i="1"/>
  <c r="P187" i="1" s="1"/>
  <c r="P189" i="1"/>
  <c r="K225" i="1"/>
  <c r="N249" i="1"/>
  <c r="N228" i="1"/>
  <c r="K260" i="1"/>
  <c r="M168" i="1"/>
  <c r="P168" i="1" s="1"/>
  <c r="M167" i="1"/>
  <c r="P71" i="1"/>
  <c r="J76" i="1"/>
  <c r="J64" i="1" s="1"/>
  <c r="K84" i="1"/>
  <c r="O127" i="1"/>
  <c r="O135" i="1"/>
  <c r="K144" i="1"/>
  <c r="I174" i="1"/>
  <c r="I164" i="1" s="1"/>
  <c r="M183" i="1"/>
  <c r="L209" i="1"/>
  <c r="N238" i="1"/>
  <c r="K247" i="1"/>
  <c r="L249" i="1"/>
  <c r="O249" i="1" s="1"/>
  <c r="I276" i="1"/>
  <c r="K276" i="1" s="1"/>
  <c r="K293" i="1"/>
  <c r="M300" i="1"/>
  <c r="M298" i="1" s="1"/>
  <c r="N317" i="1"/>
  <c r="N315" i="1" s="1"/>
  <c r="O323" i="1"/>
  <c r="N331" i="1"/>
  <c r="M351" i="1"/>
  <c r="P351" i="1" s="1"/>
  <c r="K362" i="1"/>
  <c r="K489" i="1"/>
  <c r="J595" i="1"/>
  <c r="K644" i="1"/>
  <c r="K116" i="1"/>
  <c r="P137" i="1"/>
  <c r="P154" i="1"/>
  <c r="N209" i="1"/>
  <c r="K309" i="1"/>
  <c r="K369" i="1"/>
  <c r="P407" i="1"/>
  <c r="L422" i="1"/>
  <c r="I443" i="1"/>
  <c r="K443" i="1" s="1"/>
  <c r="L446" i="1"/>
  <c r="L444" i="1" s="1"/>
  <c r="K485" i="1"/>
  <c r="K539" i="1"/>
  <c r="K542" i="1"/>
  <c r="J560" i="1"/>
  <c r="K560" i="1" s="1"/>
  <c r="J569" i="1"/>
  <c r="K569" i="1" s="1"/>
  <c r="J596" i="1"/>
  <c r="N634" i="1"/>
  <c r="N631" i="1" s="1"/>
  <c r="N629" i="1" s="1"/>
  <c r="I654" i="1"/>
  <c r="J679" i="1"/>
  <c r="J678" i="1" s="1"/>
  <c r="N690" i="1"/>
  <c r="N687" i="1" s="1"/>
  <c r="N685" i="1" s="1"/>
  <c r="J701" i="1"/>
  <c r="K701" i="1" s="1"/>
  <c r="N472" i="1"/>
  <c r="O472" i="1" s="1"/>
  <c r="L546" i="1"/>
  <c r="L544" i="1" s="1"/>
  <c r="K674" i="1"/>
  <c r="K80" i="1"/>
  <c r="K104" i="1"/>
  <c r="J100" i="1"/>
  <c r="K100" i="1" s="1"/>
  <c r="M125" i="1"/>
  <c r="P125" i="1" s="1"/>
  <c r="K145" i="1"/>
  <c r="L155" i="1"/>
  <c r="O155" i="1" s="1"/>
  <c r="L171" i="1"/>
  <c r="O171" i="1" s="1"/>
  <c r="I190" i="1"/>
  <c r="K190" i="1" s="1"/>
  <c r="L217" i="1"/>
  <c r="J233" i="1"/>
  <c r="M283" i="1"/>
  <c r="P283" i="1" s="1"/>
  <c r="K310" i="1"/>
  <c r="N318" i="1"/>
  <c r="O318" i="1" s="1"/>
  <c r="K325" i="1"/>
  <c r="M347" i="1"/>
  <c r="N395" i="1"/>
  <c r="P395" i="1" s="1"/>
  <c r="J417" i="1"/>
  <c r="K417" i="1" s="1"/>
  <c r="J583" i="1"/>
  <c r="J577" i="1" s="1"/>
  <c r="K577" i="1" s="1"/>
  <c r="J620" i="1"/>
  <c r="I112" i="1"/>
  <c r="K130" i="1"/>
  <c r="K146" i="1"/>
  <c r="N167" i="1"/>
  <c r="O186" i="1"/>
  <c r="K271" i="1"/>
  <c r="K291" i="1"/>
  <c r="I364" i="1"/>
  <c r="I401" i="1"/>
  <c r="K401" i="1" s="1"/>
  <c r="J466" i="1"/>
  <c r="K466" i="1" s="1"/>
  <c r="K498" i="1"/>
  <c r="J561" i="1"/>
  <c r="K561" i="1" s="1"/>
  <c r="K643" i="1"/>
  <c r="K700" i="1"/>
  <c r="K725" i="1"/>
  <c r="J729" i="1"/>
  <c r="K822" i="1"/>
  <c r="K825" i="1"/>
  <c r="K828" i="1"/>
  <c r="K699" i="1"/>
  <c r="K726" i="1"/>
  <c r="N9" i="1"/>
  <c r="K111" i="1"/>
  <c r="P56" i="1"/>
  <c r="N151" i="1"/>
  <c r="N149" i="1" s="1"/>
  <c r="L26" i="1"/>
  <c r="M28" i="1"/>
  <c r="P28" i="1" s="1"/>
  <c r="M34" i="1"/>
  <c r="P34" i="1" s="1"/>
  <c r="N44" i="1"/>
  <c r="O44" i="1" s="1"/>
  <c r="N47" i="1"/>
  <c r="P58" i="1"/>
  <c r="N69" i="1"/>
  <c r="N90" i="1"/>
  <c r="N88" i="1" s="1"/>
  <c r="O93" i="1"/>
  <c r="K107" i="1"/>
  <c r="L122" i="1"/>
  <c r="O122" i="1" s="1"/>
  <c r="L134" i="1"/>
  <c r="L132" i="1" s="1"/>
  <c r="J148" i="1"/>
  <c r="K148" i="1" s="1"/>
  <c r="O154" i="1"/>
  <c r="K224" i="1"/>
  <c r="I216" i="1"/>
  <c r="K216" i="1" s="1"/>
  <c r="L238" i="1"/>
  <c r="N263" i="1"/>
  <c r="N261" i="1" s="1"/>
  <c r="P266" i="1"/>
  <c r="M318" i="1"/>
  <c r="P320" i="1"/>
  <c r="M317" i="1"/>
  <c r="P329" i="1"/>
  <c r="L12" i="1"/>
  <c r="L19" i="1"/>
  <c r="L121" i="1"/>
  <c r="M134" i="1"/>
  <c r="O137" i="1"/>
  <c r="L68" i="1"/>
  <c r="N280" i="1"/>
  <c r="P280" i="1" s="1"/>
  <c r="P282" i="1"/>
  <c r="P299" i="1"/>
  <c r="M12" i="1"/>
  <c r="M19" i="1"/>
  <c r="O46" i="1"/>
  <c r="O49" i="1"/>
  <c r="O71" i="1"/>
  <c r="O74" i="1"/>
  <c r="J86" i="1"/>
  <c r="K86" i="1" s="1"/>
  <c r="M94" i="1"/>
  <c r="P94" i="1" s="1"/>
  <c r="K102" i="1"/>
  <c r="N134" i="1"/>
  <c r="N132" i="1" s="1"/>
  <c r="J143" i="1"/>
  <c r="J131" i="1" s="1"/>
  <c r="K131" i="1" s="1"/>
  <c r="J164" i="1"/>
  <c r="O184" i="1"/>
  <c r="P262" i="1"/>
  <c r="O346" i="1"/>
  <c r="L526" i="1"/>
  <c r="L525" i="1"/>
  <c r="P278" i="1"/>
  <c r="N301" i="1"/>
  <c r="P301" i="1" s="1"/>
  <c r="P303" i="1"/>
  <c r="L23" i="1"/>
  <c r="K99" i="1"/>
  <c r="K114" i="1"/>
  <c r="P140" i="1"/>
  <c r="I197" i="1"/>
  <c r="K197" i="1" s="1"/>
  <c r="K204" i="1"/>
  <c r="L331" i="1"/>
  <c r="O333" i="1"/>
  <c r="L330" i="1"/>
  <c r="L348" i="1"/>
  <c r="O348" i="1" s="1"/>
  <c r="O350" i="1"/>
  <c r="L347" i="1"/>
  <c r="J364" i="1"/>
  <c r="K365" i="1"/>
  <c r="M408" i="1"/>
  <c r="P408" i="1" s="1"/>
  <c r="M404" i="1"/>
  <c r="M402" i="1" s="1"/>
  <c r="P410" i="1"/>
  <c r="L43" i="1"/>
  <c r="M23" i="1"/>
  <c r="M21" i="1" s="1"/>
  <c r="P93" i="1"/>
  <c r="O125" i="1"/>
  <c r="M135" i="1"/>
  <c r="P135" i="1" s="1"/>
  <c r="I237" i="1"/>
  <c r="K244" i="1"/>
  <c r="I248" i="1"/>
  <c r="K248" i="1" s="1"/>
  <c r="K255" i="1"/>
  <c r="N279" i="1"/>
  <c r="J288" i="1"/>
  <c r="J275" i="1" s="1"/>
  <c r="K275" i="1" s="1"/>
  <c r="N300" i="1"/>
  <c r="M467" i="1"/>
  <c r="P467" i="1" s="1"/>
  <c r="P468" i="1"/>
  <c r="O266" i="1"/>
  <c r="O269" i="1"/>
  <c r="O282" i="1"/>
  <c r="O285" i="1"/>
  <c r="O303" i="1"/>
  <c r="P323" i="1"/>
  <c r="L392" i="1"/>
  <c r="O392" i="1" s="1"/>
  <c r="O394" i="1"/>
  <c r="P420" i="1"/>
  <c r="I522" i="1"/>
  <c r="O641" i="1"/>
  <c r="L639" i="1"/>
  <c r="O639" i="1" s="1"/>
  <c r="L631" i="1"/>
  <c r="L629" i="1" s="1"/>
  <c r="M737" i="1"/>
  <c r="P737" i="1" s="1"/>
  <c r="P738" i="1"/>
  <c r="M770" i="1"/>
  <c r="P770" i="1" s="1"/>
  <c r="P771" i="1"/>
  <c r="M348" i="1"/>
  <c r="P348" i="1" s="1"/>
  <c r="L351" i="1"/>
  <c r="O351" i="1" s="1"/>
  <c r="O353" i="1"/>
  <c r="K381" i="1"/>
  <c r="O403" i="1"/>
  <c r="N424" i="1"/>
  <c r="K442" i="1"/>
  <c r="P504" i="1"/>
  <c r="J537" i="1"/>
  <c r="J522" i="1" s="1"/>
  <c r="K538" i="1"/>
  <c r="K651" i="1"/>
  <c r="O656" i="1"/>
  <c r="O686" i="1"/>
  <c r="L334" i="1"/>
  <c r="O334" i="1" s="1"/>
  <c r="O336" i="1"/>
  <c r="L395" i="1"/>
  <c r="O397" i="1"/>
  <c r="O787" i="1"/>
  <c r="P419" i="1"/>
  <c r="M754" i="1"/>
  <c r="P754" i="1" s="1"/>
  <c r="P755" i="1"/>
  <c r="O316" i="1"/>
  <c r="K372" i="1"/>
  <c r="L391" i="1"/>
  <c r="K460" i="1"/>
  <c r="K487" i="1"/>
  <c r="L533" i="1"/>
  <c r="O533" i="1" s="1"/>
  <c r="O535" i="1"/>
  <c r="P545" i="1"/>
  <c r="J721" i="1"/>
  <c r="K721" i="1" s="1"/>
  <c r="N754" i="1"/>
  <c r="L555" i="1"/>
  <c r="O555" i="1" s="1"/>
  <c r="K673" i="1"/>
  <c r="P686" i="1"/>
  <c r="L688" i="1"/>
  <c r="P787" i="1"/>
  <c r="N808" i="1"/>
  <c r="O407" i="1"/>
  <c r="O410" i="1"/>
  <c r="L687" i="1"/>
  <c r="K672" i="1"/>
  <c r="P300" i="15" l="1"/>
  <c r="O330" i="13"/>
  <c r="O90" i="6"/>
  <c r="O347" i="13"/>
  <c r="I543" i="15"/>
  <c r="K543" i="15" s="1"/>
  <c r="L13" i="10"/>
  <c r="L11" i="10" s="1"/>
  <c r="O55" i="10"/>
  <c r="N24" i="14"/>
  <c r="O90" i="15"/>
  <c r="O421" i="15"/>
  <c r="L345" i="13"/>
  <c r="O345" i="13" s="1"/>
  <c r="O168" i="10"/>
  <c r="I164" i="15"/>
  <c r="K164" i="15" s="1"/>
  <c r="M298" i="11"/>
  <c r="P298" i="11" s="1"/>
  <c r="P347" i="11"/>
  <c r="O347" i="11"/>
  <c r="O315" i="13"/>
  <c r="M277" i="13"/>
  <c r="P277" i="13" s="1"/>
  <c r="O525" i="15"/>
  <c r="O317" i="15"/>
  <c r="M119" i="15"/>
  <c r="P119" i="15" s="1"/>
  <c r="O134" i="15"/>
  <c r="M298" i="15"/>
  <c r="P298" i="15" s="1"/>
  <c r="O525" i="13"/>
  <c r="L298" i="12"/>
  <c r="O298" i="12" s="1"/>
  <c r="O55" i="15"/>
  <c r="K364" i="15"/>
  <c r="O261" i="15"/>
  <c r="O300" i="15"/>
  <c r="M132" i="12"/>
  <c r="P132" i="12" s="1"/>
  <c r="M402" i="14"/>
  <c r="P402" i="14" s="1"/>
  <c r="L389" i="15"/>
  <c r="O389" i="15" s="1"/>
  <c r="P167" i="15"/>
  <c r="O330" i="15"/>
  <c r="P53" i="14"/>
  <c r="K131" i="15"/>
  <c r="L30" i="15"/>
  <c r="L34" i="15"/>
  <c r="O34" i="15" s="1"/>
  <c r="O263" i="15"/>
  <c r="P55" i="10"/>
  <c r="M261" i="15"/>
  <c r="P261" i="15" s="1"/>
  <c r="L402" i="15"/>
  <c r="O402" i="15" s="1"/>
  <c r="P330" i="15"/>
  <c r="P181" i="14"/>
  <c r="P331" i="15"/>
  <c r="P88" i="15"/>
  <c r="K76" i="15"/>
  <c r="L277" i="14"/>
  <c r="O277" i="14" s="1"/>
  <c r="P41" i="10"/>
  <c r="L523" i="14"/>
  <c r="O523" i="14" s="1"/>
  <c r="N315" i="15"/>
  <c r="O315" i="15" s="1"/>
  <c r="L132" i="15"/>
  <c r="P68" i="15"/>
  <c r="P55" i="15"/>
  <c r="P90" i="15"/>
  <c r="M277" i="14"/>
  <c r="P277" i="14" s="1"/>
  <c r="L328" i="15"/>
  <c r="O328" i="15" s="1"/>
  <c r="P53" i="15"/>
  <c r="P43" i="15"/>
  <c r="P317" i="9"/>
  <c r="M277" i="12"/>
  <c r="P277" i="12" s="1"/>
  <c r="P347" i="15"/>
  <c r="K364" i="13"/>
  <c r="O41" i="15"/>
  <c r="O328" i="10"/>
  <c r="N20" i="13"/>
  <c r="N18" i="13" s="1"/>
  <c r="O331" i="14"/>
  <c r="N13" i="13"/>
  <c r="N10" i="13" s="1"/>
  <c r="O59" i="13"/>
  <c r="O277" i="15"/>
  <c r="L298" i="15"/>
  <c r="O298" i="15" s="1"/>
  <c r="O91" i="15"/>
  <c r="O33" i="15"/>
  <c r="L31" i="15"/>
  <c r="O31" i="15" s="1"/>
  <c r="L389" i="13"/>
  <c r="O389" i="13" s="1"/>
  <c r="O134" i="13"/>
  <c r="L34" i="13"/>
  <c r="O34" i="13" s="1"/>
  <c r="P331" i="14"/>
  <c r="O657" i="14"/>
  <c r="O279" i="15"/>
  <c r="L13" i="15"/>
  <c r="L11" i="15" s="1"/>
  <c r="I418" i="13"/>
  <c r="K418" i="13" s="1"/>
  <c r="K559" i="13"/>
  <c r="L16" i="13"/>
  <c r="O16" i="13" s="1"/>
  <c r="P151" i="15"/>
  <c r="K559" i="12"/>
  <c r="O43" i="15"/>
  <c r="O687" i="10"/>
  <c r="L21" i="15"/>
  <c r="N14" i="15"/>
  <c r="O181" i="14"/>
  <c r="M41" i="15"/>
  <c r="P41" i="15" s="1"/>
  <c r="I164" i="12"/>
  <c r="K164" i="12" s="1"/>
  <c r="P348" i="14"/>
  <c r="O261" i="14"/>
  <c r="O546" i="13"/>
  <c r="O66" i="15"/>
  <c r="P165" i="10"/>
  <c r="M389" i="14"/>
  <c r="P389" i="14" s="1"/>
  <c r="O90" i="13"/>
  <c r="I543" i="14"/>
  <c r="K543" i="14" s="1"/>
  <c r="P279" i="15"/>
  <c r="L53" i="15"/>
  <c r="O53" i="15" s="1"/>
  <c r="O347" i="15"/>
  <c r="L655" i="15"/>
  <c r="O655" i="15" s="1"/>
  <c r="O68" i="15"/>
  <c r="K364" i="2"/>
  <c r="O348" i="13"/>
  <c r="O167" i="14"/>
  <c r="O41" i="14"/>
  <c r="O546" i="11"/>
  <c r="O132" i="15"/>
  <c r="O544" i="11"/>
  <c r="O264" i="13"/>
  <c r="I164" i="14"/>
  <c r="K164" i="14" s="1"/>
  <c r="P44" i="14"/>
  <c r="L685" i="15"/>
  <c r="O685" i="15" s="1"/>
  <c r="O69" i="15"/>
  <c r="O134" i="6"/>
  <c r="P330" i="13"/>
  <c r="L119" i="14"/>
  <c r="O119" i="14" s="1"/>
  <c r="M119" i="14"/>
  <c r="P119" i="14" s="1"/>
  <c r="L132" i="14"/>
  <c r="O132" i="14" s="1"/>
  <c r="O43" i="14"/>
  <c r="K537" i="15"/>
  <c r="P345" i="15"/>
  <c r="L88" i="15"/>
  <c r="O88" i="15" s="1"/>
  <c r="O135" i="15"/>
  <c r="P165" i="13"/>
  <c r="O151" i="15"/>
  <c r="I65" i="15"/>
  <c r="K65" i="15" s="1"/>
  <c r="K77" i="15"/>
  <c r="K143" i="15"/>
  <c r="O55" i="11"/>
  <c r="M66" i="12"/>
  <c r="P66" i="12" s="1"/>
  <c r="N21" i="12"/>
  <c r="P21" i="12" s="1"/>
  <c r="O263" i="13"/>
  <c r="O44" i="15"/>
  <c r="O546" i="15"/>
  <c r="L544" i="15"/>
  <c r="O544" i="15" s="1"/>
  <c r="N88" i="6"/>
  <c r="O88" i="6" s="1"/>
  <c r="P43" i="12"/>
  <c r="O167" i="13"/>
  <c r="M165" i="15"/>
  <c r="P165" i="15" s="1"/>
  <c r="P149" i="15"/>
  <c r="O43" i="12"/>
  <c r="O90" i="12"/>
  <c r="P348" i="13"/>
  <c r="L629" i="15"/>
  <c r="O629" i="15" s="1"/>
  <c r="O345" i="15"/>
  <c r="P66" i="15"/>
  <c r="P9" i="15"/>
  <c r="N21" i="13"/>
  <c r="P21" i="13" s="1"/>
  <c r="M389" i="13"/>
  <c r="P389" i="13" s="1"/>
  <c r="L467" i="14"/>
  <c r="O467" i="14" s="1"/>
  <c r="P55" i="14"/>
  <c r="J417" i="15"/>
  <c r="K417" i="15" s="1"/>
  <c r="K433" i="15"/>
  <c r="O19" i="15"/>
  <c r="P391" i="15"/>
  <c r="M389" i="15"/>
  <c r="P389" i="15" s="1"/>
  <c r="I226" i="15"/>
  <c r="K237" i="15"/>
  <c r="P26" i="15"/>
  <c r="M16" i="15"/>
  <c r="P16" i="15" s="1"/>
  <c r="M24" i="15"/>
  <c r="P23" i="15"/>
  <c r="M20" i="15"/>
  <c r="M13" i="15"/>
  <c r="M21" i="15"/>
  <c r="O167" i="15"/>
  <c r="L165" i="15"/>
  <c r="O165" i="15" s="1"/>
  <c r="O469" i="15"/>
  <c r="P328" i="15"/>
  <c r="O12" i="15"/>
  <c r="L9" i="15"/>
  <c r="P29" i="15"/>
  <c r="M28" i="15"/>
  <c r="P28" i="15" s="1"/>
  <c r="L227" i="15"/>
  <c r="O238" i="15"/>
  <c r="L149" i="15"/>
  <c r="O149" i="15" s="1"/>
  <c r="K434" i="15"/>
  <c r="I418" i="15"/>
  <c r="K418" i="15" s="1"/>
  <c r="L16" i="15"/>
  <c r="O26" i="15"/>
  <c r="L119" i="15"/>
  <c r="O119" i="15" s="1"/>
  <c r="O419" i="15"/>
  <c r="P404" i="15"/>
  <c r="M402" i="15"/>
  <c r="P402" i="15" s="1"/>
  <c r="N20" i="15"/>
  <c r="N18" i="15" s="1"/>
  <c r="N13" i="15"/>
  <c r="N21" i="15"/>
  <c r="O331" i="13"/>
  <c r="M328" i="13"/>
  <c r="P328" i="13" s="1"/>
  <c r="P280" i="15"/>
  <c r="M414" i="15"/>
  <c r="P414" i="15" s="1"/>
  <c r="O183" i="15"/>
  <c r="L181" i="15"/>
  <c r="P317" i="15"/>
  <c r="M315" i="15"/>
  <c r="O444" i="15"/>
  <c r="P277" i="15"/>
  <c r="P134" i="15"/>
  <c r="M132" i="15"/>
  <c r="P132" i="15" s="1"/>
  <c r="P91" i="15"/>
  <c r="N24" i="15"/>
  <c r="O24" i="15" s="1"/>
  <c r="N181" i="15"/>
  <c r="P183" i="15"/>
  <c r="L20" i="15"/>
  <c r="L18" i="15" s="1"/>
  <c r="N414" i="15"/>
  <c r="P15" i="15"/>
  <c r="O788" i="15"/>
  <c r="L786" i="15"/>
  <c r="O786" i="15" s="1"/>
  <c r="O446" i="15"/>
  <c r="K288" i="15"/>
  <c r="O23" i="15"/>
  <c r="P55" i="11"/>
  <c r="O298" i="13"/>
  <c r="K364" i="12"/>
  <c r="L30" i="14"/>
  <c r="O30" i="14" s="1"/>
  <c r="M261" i="14"/>
  <c r="P261" i="14" s="1"/>
  <c r="P90" i="14"/>
  <c r="L419" i="11"/>
  <c r="O419" i="11" s="1"/>
  <c r="L544" i="8"/>
  <c r="O544" i="8" s="1"/>
  <c r="O168" i="12"/>
  <c r="P183" i="14"/>
  <c r="M132" i="6"/>
  <c r="P132" i="6" s="1"/>
  <c r="M315" i="6"/>
  <c r="P315" i="6" s="1"/>
  <c r="P183" i="9"/>
  <c r="O300" i="13"/>
  <c r="L523" i="11"/>
  <c r="O523" i="11" s="1"/>
  <c r="M277" i="11"/>
  <c r="P277" i="11" s="1"/>
  <c r="O347" i="14"/>
  <c r="O33" i="14"/>
  <c r="O263" i="14"/>
  <c r="L544" i="14"/>
  <c r="O544" i="14" s="1"/>
  <c r="O546" i="14"/>
  <c r="L66" i="13"/>
  <c r="O66" i="13" s="1"/>
  <c r="L34" i="14"/>
  <c r="O34" i="14" s="1"/>
  <c r="P88" i="14"/>
  <c r="O404" i="14"/>
  <c r="L402" i="14"/>
  <c r="O402" i="14" s="1"/>
  <c r="M298" i="14"/>
  <c r="P298" i="14" s="1"/>
  <c r="O391" i="14"/>
  <c r="L389" i="14"/>
  <c r="O389" i="14" s="1"/>
  <c r="L119" i="10"/>
  <c r="O119" i="10" s="1"/>
  <c r="P301" i="13"/>
  <c r="N24" i="13"/>
  <c r="L149" i="14"/>
  <c r="O149" i="14" s="1"/>
  <c r="O183" i="14"/>
  <c r="L66" i="14"/>
  <c r="O66" i="14" s="1"/>
  <c r="N414" i="14"/>
  <c r="O121" i="11"/>
  <c r="P391" i="12"/>
  <c r="O546" i="12"/>
  <c r="M16" i="14"/>
  <c r="P16" i="14" s="1"/>
  <c r="P26" i="14"/>
  <c r="N9" i="14"/>
  <c r="P15" i="14"/>
  <c r="M414" i="14"/>
  <c r="P414" i="14" s="1"/>
  <c r="I131" i="14"/>
  <c r="K131" i="14" s="1"/>
  <c r="K143" i="14"/>
  <c r="P317" i="14"/>
  <c r="M315" i="14"/>
  <c r="P315" i="14" s="1"/>
  <c r="K434" i="14"/>
  <c r="I418" i="14"/>
  <c r="K418" i="14" s="1"/>
  <c r="K237" i="14"/>
  <c r="I226" i="14"/>
  <c r="M9" i="14"/>
  <c r="P12" i="14"/>
  <c r="P29" i="14"/>
  <c r="M28" i="14"/>
  <c r="P28" i="14" s="1"/>
  <c r="O23" i="14"/>
  <c r="L20" i="14"/>
  <c r="L13" i="14"/>
  <c r="L11" i="14" s="1"/>
  <c r="L21" i="14"/>
  <c r="O21" i="14" s="1"/>
  <c r="J364" i="14"/>
  <c r="K364" i="14" s="1"/>
  <c r="K365" i="14"/>
  <c r="O421" i="14"/>
  <c r="L419" i="14"/>
  <c r="P43" i="14"/>
  <c r="M41" i="14"/>
  <c r="O279" i="13"/>
  <c r="L277" i="13"/>
  <c r="O277" i="13" s="1"/>
  <c r="P134" i="14"/>
  <c r="M132" i="14"/>
  <c r="P132" i="14" s="1"/>
  <c r="L16" i="14"/>
  <c r="L24" i="14"/>
  <c r="O26" i="14"/>
  <c r="I417" i="14"/>
  <c r="K417" i="14" s="1"/>
  <c r="K433" i="14"/>
  <c r="I65" i="14"/>
  <c r="K65" i="14" s="1"/>
  <c r="K77" i="14"/>
  <c r="O55" i="14"/>
  <c r="L53" i="14"/>
  <c r="I64" i="14"/>
  <c r="K64" i="14" s="1"/>
  <c r="K76" i="14"/>
  <c r="P23" i="14"/>
  <c r="M20" i="14"/>
  <c r="M13" i="14"/>
  <c r="M11" i="14" s="1"/>
  <c r="N20" i="14"/>
  <c r="N18" i="14" s="1"/>
  <c r="N13" i="14"/>
  <c r="N10" i="14" s="1"/>
  <c r="P330" i="14"/>
  <c r="N328" i="14"/>
  <c r="P21" i="14"/>
  <c r="O657" i="13"/>
  <c r="L655" i="13"/>
  <c r="O655" i="13" s="1"/>
  <c r="P19" i="14"/>
  <c r="L13" i="9"/>
  <c r="L11" i="9" s="1"/>
  <c r="K434" i="11"/>
  <c r="K77" i="12"/>
  <c r="O165" i="13"/>
  <c r="L315" i="14"/>
  <c r="O315" i="14" s="1"/>
  <c r="O90" i="14"/>
  <c r="L88" i="14"/>
  <c r="O88" i="14" s="1"/>
  <c r="P347" i="14"/>
  <c r="N345" i="14"/>
  <c r="O249" i="14"/>
  <c r="L227" i="14"/>
  <c r="O12" i="14"/>
  <c r="L9" i="14"/>
  <c r="O446" i="14"/>
  <c r="L444" i="14"/>
  <c r="O444" i="14" s="1"/>
  <c r="O631" i="14"/>
  <c r="L629" i="14"/>
  <c r="O629" i="14" s="1"/>
  <c r="P68" i="14"/>
  <c r="M66" i="14"/>
  <c r="P66" i="14" s="1"/>
  <c r="M24" i="14"/>
  <c r="O330" i="14"/>
  <c r="P167" i="14"/>
  <c r="N165" i="14"/>
  <c r="O19" i="14"/>
  <c r="O300" i="14"/>
  <c r="L298" i="14"/>
  <c r="O298" i="14" s="1"/>
  <c r="M149" i="14"/>
  <c r="P149" i="14" s="1"/>
  <c r="L328" i="13"/>
  <c r="O328" i="13" s="1"/>
  <c r="L149" i="13"/>
  <c r="O149" i="13" s="1"/>
  <c r="M119" i="13"/>
  <c r="P119" i="13" s="1"/>
  <c r="P263" i="11"/>
  <c r="L629" i="12"/>
  <c r="O629" i="12" s="1"/>
  <c r="O43" i="13"/>
  <c r="L24" i="13"/>
  <c r="I131" i="13"/>
  <c r="K131" i="13" s="1"/>
  <c r="K143" i="13"/>
  <c r="O183" i="12"/>
  <c r="L227" i="13"/>
  <c r="O26" i="13"/>
  <c r="P88" i="13"/>
  <c r="O261" i="13"/>
  <c r="M389" i="10"/>
  <c r="P389" i="10" s="1"/>
  <c r="P90" i="13"/>
  <c r="I164" i="9"/>
  <c r="K164" i="9" s="1"/>
  <c r="P43" i="10"/>
  <c r="N10" i="12"/>
  <c r="N8" i="12" s="1"/>
  <c r="P53" i="12"/>
  <c r="J522" i="13"/>
  <c r="K522" i="13" s="1"/>
  <c r="K417" i="13"/>
  <c r="O404" i="11"/>
  <c r="P90" i="6"/>
  <c r="N14" i="12"/>
  <c r="L685" i="12"/>
  <c r="O685" i="12" s="1"/>
  <c r="L66" i="12"/>
  <c r="O66" i="12" s="1"/>
  <c r="P165" i="12"/>
  <c r="L132" i="13"/>
  <c r="O132" i="13" s="1"/>
  <c r="P56" i="13"/>
  <c r="M402" i="13"/>
  <c r="P402" i="13" s="1"/>
  <c r="P404" i="13"/>
  <c r="P300" i="13"/>
  <c r="M298" i="13"/>
  <c r="P298" i="13" s="1"/>
  <c r="K433" i="13"/>
  <c r="O33" i="13"/>
  <c r="L31" i="13"/>
  <c r="O31" i="13" s="1"/>
  <c r="P328" i="11"/>
  <c r="O544" i="13"/>
  <c r="P317" i="13"/>
  <c r="O317" i="13"/>
  <c r="L30" i="13"/>
  <c r="O30" i="13" s="1"/>
  <c r="O135" i="13"/>
  <c r="O469" i="9"/>
  <c r="L88" i="12"/>
  <c r="O88" i="12" s="1"/>
  <c r="N20" i="12"/>
  <c r="N18" i="12" s="1"/>
  <c r="L402" i="13"/>
  <c r="O402" i="13" s="1"/>
  <c r="P347" i="13"/>
  <c r="M345" i="13"/>
  <c r="P345" i="13" s="1"/>
  <c r="P55" i="9"/>
  <c r="O331" i="11"/>
  <c r="P263" i="13"/>
  <c r="M261" i="13"/>
  <c r="P261" i="13" s="1"/>
  <c r="P167" i="13"/>
  <c r="M16" i="13"/>
  <c r="P26" i="13"/>
  <c r="M24" i="13"/>
  <c r="P184" i="7"/>
  <c r="O90" i="8"/>
  <c r="L119" i="12"/>
  <c r="O119" i="12" s="1"/>
  <c r="O165" i="12"/>
  <c r="P167" i="12"/>
  <c r="L9" i="13"/>
  <c r="O12" i="13"/>
  <c r="O183" i="13"/>
  <c r="L181" i="13"/>
  <c r="O121" i="13"/>
  <c r="L119" i="13"/>
  <c r="O119" i="13" s="1"/>
  <c r="O469" i="13"/>
  <c r="L467" i="13"/>
  <c r="O467" i="13" s="1"/>
  <c r="P43" i="11"/>
  <c r="O56" i="11"/>
  <c r="M345" i="11"/>
  <c r="P345" i="11" s="1"/>
  <c r="M298" i="12"/>
  <c r="P298" i="12" s="1"/>
  <c r="P347" i="12"/>
  <c r="L419" i="13"/>
  <c r="L444" i="13"/>
  <c r="O444" i="13" s="1"/>
  <c r="P183" i="13"/>
  <c r="N181" i="13"/>
  <c r="P181" i="13" s="1"/>
  <c r="O19" i="13"/>
  <c r="P23" i="13"/>
  <c r="M20" i="13"/>
  <c r="M13" i="13"/>
  <c r="M11" i="13" s="1"/>
  <c r="M41" i="13"/>
  <c r="P43" i="13"/>
  <c r="P55" i="13"/>
  <c r="M53" i="13"/>
  <c r="P53" i="13" s="1"/>
  <c r="P68" i="13"/>
  <c r="M66" i="13"/>
  <c r="P66" i="13" s="1"/>
  <c r="L34" i="12"/>
  <c r="O34" i="12" s="1"/>
  <c r="I164" i="13"/>
  <c r="K164" i="13" s="1"/>
  <c r="K174" i="13"/>
  <c r="M9" i="13"/>
  <c r="P12" i="13"/>
  <c r="I64" i="13"/>
  <c r="K64" i="13" s="1"/>
  <c r="K76" i="13"/>
  <c r="O41" i="13"/>
  <c r="M149" i="13"/>
  <c r="P149" i="13" s="1"/>
  <c r="P151" i="13"/>
  <c r="O29" i="13"/>
  <c r="L88" i="13"/>
  <c r="O88" i="13" s="1"/>
  <c r="O631" i="13"/>
  <c r="L629" i="13"/>
  <c r="O629" i="13" s="1"/>
  <c r="L685" i="5"/>
  <c r="O685" i="5" s="1"/>
  <c r="O688" i="6"/>
  <c r="L34" i="10"/>
  <c r="O34" i="10" s="1"/>
  <c r="M261" i="11"/>
  <c r="P261" i="11" s="1"/>
  <c r="L181" i="12"/>
  <c r="O181" i="12" s="1"/>
  <c r="M414" i="13"/>
  <c r="P414" i="13" s="1"/>
  <c r="N9" i="13"/>
  <c r="I65" i="13"/>
  <c r="K65" i="13" s="1"/>
  <c r="K77" i="13"/>
  <c r="P315" i="13"/>
  <c r="L389" i="12"/>
  <c r="O389" i="12" s="1"/>
  <c r="O330" i="12"/>
  <c r="L66" i="11"/>
  <c r="O66" i="11" s="1"/>
  <c r="L20" i="13"/>
  <c r="O23" i="13"/>
  <c r="L13" i="13"/>
  <c r="K237" i="13"/>
  <c r="I226" i="13"/>
  <c r="P134" i="13"/>
  <c r="M132" i="13"/>
  <c r="P132" i="13" s="1"/>
  <c r="L53" i="13"/>
  <c r="O53" i="13" s="1"/>
  <c r="O55" i="13"/>
  <c r="P167" i="4"/>
  <c r="K559" i="11"/>
  <c r="L20" i="11"/>
  <c r="L18" i="11" s="1"/>
  <c r="O300" i="11"/>
  <c r="O263" i="12"/>
  <c r="N24" i="12"/>
  <c r="O55" i="12"/>
  <c r="K434" i="12"/>
  <c r="I418" i="12"/>
  <c r="K418" i="12" s="1"/>
  <c r="O167" i="4"/>
  <c r="O317" i="11"/>
  <c r="N11" i="12"/>
  <c r="P55" i="12"/>
  <c r="O121" i="5"/>
  <c r="M88" i="6"/>
  <c r="L315" i="7"/>
  <c r="O315" i="7" s="1"/>
  <c r="P351" i="12"/>
  <c r="P121" i="5"/>
  <c r="L419" i="12"/>
  <c r="O419" i="12" s="1"/>
  <c r="L655" i="12"/>
  <c r="O655" i="12" s="1"/>
  <c r="O167" i="12"/>
  <c r="O43" i="11"/>
  <c r="N328" i="12"/>
  <c r="P328" i="12" s="1"/>
  <c r="L402" i="12"/>
  <c r="O402" i="12" s="1"/>
  <c r="O331" i="8"/>
  <c r="P348" i="12"/>
  <c r="M181" i="12"/>
  <c r="P181" i="12" s="1"/>
  <c r="P183" i="12"/>
  <c r="P317" i="12"/>
  <c r="M315" i="12"/>
  <c r="P315" i="12" s="1"/>
  <c r="O56" i="9"/>
  <c r="P168" i="7"/>
  <c r="P134" i="9"/>
  <c r="K559" i="10"/>
  <c r="L149" i="10"/>
  <c r="O149" i="10" s="1"/>
  <c r="P183" i="10"/>
  <c r="I164" i="11"/>
  <c r="K164" i="11" s="1"/>
  <c r="O348" i="11"/>
  <c r="I65" i="11"/>
  <c r="K65" i="11" s="1"/>
  <c r="O261" i="11"/>
  <c r="P330" i="12"/>
  <c r="L149" i="12"/>
  <c r="O149" i="12" s="1"/>
  <c r="O53" i="12"/>
  <c r="L132" i="12"/>
  <c r="O132" i="12" s="1"/>
  <c r="O134" i="12"/>
  <c r="P168" i="10"/>
  <c r="O33" i="10"/>
  <c r="M119" i="11"/>
  <c r="P119" i="11" s="1"/>
  <c r="L21" i="11"/>
  <c r="O263" i="11"/>
  <c r="O347" i="12"/>
  <c r="K433" i="12"/>
  <c r="I417" i="12"/>
  <c r="K417" i="12" s="1"/>
  <c r="P404" i="12"/>
  <c r="M402" i="12"/>
  <c r="P402" i="12" s="1"/>
  <c r="O317" i="12"/>
  <c r="L315" i="12"/>
  <c r="O315" i="12" s="1"/>
  <c r="I65" i="9"/>
  <c r="K65" i="9" s="1"/>
  <c r="M261" i="10"/>
  <c r="P261" i="10" s="1"/>
  <c r="K76" i="12"/>
  <c r="M88" i="12"/>
  <c r="P88" i="12" s="1"/>
  <c r="P90" i="12"/>
  <c r="O261" i="12"/>
  <c r="K76" i="9"/>
  <c r="O134" i="9"/>
  <c r="L132" i="10"/>
  <c r="O132" i="10" s="1"/>
  <c r="J364" i="11"/>
  <c r="K364" i="11" s="1"/>
  <c r="O41" i="11"/>
  <c r="K433" i="11"/>
  <c r="O525" i="12"/>
  <c r="L523" i="12"/>
  <c r="O523" i="12" s="1"/>
  <c r="O279" i="12"/>
  <c r="L277" i="12"/>
  <c r="O277" i="12" s="1"/>
  <c r="O91" i="10"/>
  <c r="O263" i="9"/>
  <c r="L34" i="11"/>
  <c r="O34" i="11" s="1"/>
  <c r="O26" i="11"/>
  <c r="L132" i="11"/>
  <c r="O132" i="11" s="1"/>
  <c r="O788" i="12"/>
  <c r="L786" i="12"/>
  <c r="O786" i="12" s="1"/>
  <c r="O15" i="12"/>
  <c r="P121" i="12"/>
  <c r="M119" i="12"/>
  <c r="P119" i="12" s="1"/>
  <c r="O23" i="12"/>
  <c r="L20" i="12"/>
  <c r="L13" i="12"/>
  <c r="L21" i="12"/>
  <c r="O330" i="5"/>
  <c r="L444" i="12"/>
  <c r="O444" i="12" s="1"/>
  <c r="O9" i="12"/>
  <c r="O632" i="12"/>
  <c r="P41" i="12"/>
  <c r="P26" i="12"/>
  <c r="M16" i="12"/>
  <c r="P16" i="12" s="1"/>
  <c r="M24" i="12"/>
  <c r="O44" i="12"/>
  <c r="M9" i="12"/>
  <c r="P12" i="12"/>
  <c r="K248" i="12"/>
  <c r="I226" i="12"/>
  <c r="P151" i="12"/>
  <c r="M149" i="12"/>
  <c r="P149" i="12" s="1"/>
  <c r="O26" i="12"/>
  <c r="L16" i="12"/>
  <c r="O16" i="12" s="1"/>
  <c r="O41" i="12"/>
  <c r="P404" i="11"/>
  <c r="M402" i="11"/>
  <c r="P402" i="11" s="1"/>
  <c r="P19" i="12"/>
  <c r="L444" i="11"/>
  <c r="O444" i="11" s="1"/>
  <c r="L24" i="12"/>
  <c r="O238" i="12"/>
  <c r="L227" i="12"/>
  <c r="O33" i="12"/>
  <c r="L30" i="12"/>
  <c r="O30" i="12" s="1"/>
  <c r="O422" i="9"/>
  <c r="L16" i="11"/>
  <c r="L14" i="11" s="1"/>
  <c r="O345" i="12"/>
  <c r="P345" i="12"/>
  <c r="K143" i="12"/>
  <c r="I131" i="12"/>
  <c r="K131" i="12" s="1"/>
  <c r="P23" i="12"/>
  <c r="M20" i="12"/>
  <c r="M13" i="12"/>
  <c r="P29" i="12"/>
  <c r="M28" i="12"/>
  <c r="P28" i="12" s="1"/>
  <c r="O23" i="11"/>
  <c r="L467" i="12"/>
  <c r="O467" i="12" s="1"/>
  <c r="N414" i="12"/>
  <c r="O29" i="12"/>
  <c r="M414" i="12"/>
  <c r="P414" i="12" s="1"/>
  <c r="P419" i="12"/>
  <c r="P263" i="12"/>
  <c r="M261" i="12"/>
  <c r="P261" i="12" s="1"/>
  <c r="P15" i="12"/>
  <c r="O422" i="12"/>
  <c r="N16" i="10"/>
  <c r="N14" i="10" s="1"/>
  <c r="P56" i="11"/>
  <c r="O657" i="11"/>
  <c r="L655" i="11"/>
  <c r="O655" i="11" s="1"/>
  <c r="L315" i="10"/>
  <c r="O315" i="10" s="1"/>
  <c r="L345" i="11"/>
  <c r="O345" i="11" s="1"/>
  <c r="M41" i="11"/>
  <c r="P41" i="11" s="1"/>
  <c r="M389" i="11"/>
  <c r="P389" i="11" s="1"/>
  <c r="P391" i="11"/>
  <c r="N21" i="10"/>
  <c r="O328" i="11"/>
  <c r="P168" i="11"/>
  <c r="P317" i="8"/>
  <c r="L30" i="9"/>
  <c r="O30" i="9" s="1"/>
  <c r="M261" i="9"/>
  <c r="P261" i="9" s="1"/>
  <c r="L523" i="10"/>
  <c r="O523" i="10" s="1"/>
  <c r="P43" i="5"/>
  <c r="P183" i="7"/>
  <c r="O687" i="8"/>
  <c r="P183" i="8"/>
  <c r="O469" i="8"/>
  <c r="O263" i="8"/>
  <c r="K364" i="9"/>
  <c r="M119" i="9"/>
  <c r="P119" i="9" s="1"/>
  <c r="L277" i="10"/>
  <c r="O277" i="10" s="1"/>
  <c r="M119" i="10"/>
  <c r="P119" i="10" s="1"/>
  <c r="O23" i="10"/>
  <c r="L277" i="11"/>
  <c r="O277" i="11" s="1"/>
  <c r="O279" i="11"/>
  <c r="P330" i="11"/>
  <c r="P181" i="8"/>
  <c r="O132" i="9"/>
  <c r="K364" i="10"/>
  <c r="K417" i="11"/>
  <c r="M315" i="11"/>
  <c r="P315" i="11" s="1"/>
  <c r="O330" i="11"/>
  <c r="O263" i="6"/>
  <c r="O167" i="7"/>
  <c r="M402" i="7"/>
  <c r="P402" i="7" s="1"/>
  <c r="L523" i="8"/>
  <c r="O523" i="8" s="1"/>
  <c r="P330" i="10"/>
  <c r="L298" i="10"/>
  <c r="O298" i="10" s="1"/>
  <c r="K76" i="10"/>
  <c r="M132" i="11"/>
  <c r="P132" i="11" s="1"/>
  <c r="L261" i="9"/>
  <c r="O261" i="9" s="1"/>
  <c r="O31" i="10"/>
  <c r="O68" i="10"/>
  <c r="L389" i="11"/>
  <c r="O389" i="11" s="1"/>
  <c r="P55" i="8"/>
  <c r="K434" i="10"/>
  <c r="O469" i="11"/>
  <c r="L467" i="11"/>
  <c r="O467" i="11" s="1"/>
  <c r="L629" i="11"/>
  <c r="O629" i="11" s="1"/>
  <c r="M149" i="11"/>
  <c r="P149" i="11" s="1"/>
  <c r="L30" i="11"/>
  <c r="O33" i="11"/>
  <c r="N414" i="11"/>
  <c r="P183" i="11"/>
  <c r="N181" i="11"/>
  <c r="P181" i="11" s="1"/>
  <c r="O15" i="11"/>
  <c r="L30" i="10"/>
  <c r="O30" i="10" s="1"/>
  <c r="P23" i="11"/>
  <c r="M20" i="11"/>
  <c r="M18" i="11" s="1"/>
  <c r="M13" i="11"/>
  <c r="M21" i="11"/>
  <c r="M66" i="11"/>
  <c r="P66" i="11" s="1"/>
  <c r="P68" i="11"/>
  <c r="O151" i="11"/>
  <c r="L149" i="11"/>
  <c r="O149" i="11" s="1"/>
  <c r="M28" i="11"/>
  <c r="P28" i="11" s="1"/>
  <c r="P29" i="11"/>
  <c r="P167" i="11"/>
  <c r="O167" i="11"/>
  <c r="P26" i="11"/>
  <c r="M16" i="11"/>
  <c r="M24" i="11"/>
  <c r="P19" i="11"/>
  <c r="K76" i="11"/>
  <c r="I64" i="11"/>
  <c r="K64" i="11" s="1"/>
  <c r="O9" i="11"/>
  <c r="O209" i="1"/>
  <c r="I226" i="11"/>
  <c r="K237" i="11"/>
  <c r="P90" i="11"/>
  <c r="N88" i="11"/>
  <c r="P88" i="11" s="1"/>
  <c r="O90" i="11"/>
  <c r="L88" i="11"/>
  <c r="O238" i="11"/>
  <c r="L227" i="11"/>
  <c r="M414" i="11"/>
  <c r="P414" i="11" s="1"/>
  <c r="M53" i="11"/>
  <c r="P53" i="11" s="1"/>
  <c r="L655" i="9"/>
  <c r="O655" i="9" s="1"/>
  <c r="P132" i="9"/>
  <c r="L31" i="9"/>
  <c r="O31" i="9" s="1"/>
  <c r="O31" i="11"/>
  <c r="N165" i="11"/>
  <c r="L13" i="11"/>
  <c r="K364" i="6"/>
  <c r="P16" i="8"/>
  <c r="L629" i="10"/>
  <c r="O629" i="10" s="1"/>
  <c r="L21" i="10"/>
  <c r="P91" i="11"/>
  <c r="O91" i="11"/>
  <c r="O53" i="11"/>
  <c r="N9" i="11"/>
  <c r="N181" i="10"/>
  <c r="O181" i="10" s="1"/>
  <c r="N20" i="11"/>
  <c r="N18" i="11" s="1"/>
  <c r="N13" i="11"/>
  <c r="O183" i="11"/>
  <c r="L181" i="11"/>
  <c r="N16" i="11"/>
  <c r="N24" i="11"/>
  <c r="O24" i="11" s="1"/>
  <c r="N21" i="11"/>
  <c r="L298" i="7"/>
  <c r="O298" i="7" s="1"/>
  <c r="L21" i="9"/>
  <c r="L34" i="9"/>
  <c r="O34" i="9" s="1"/>
  <c r="P167" i="10"/>
  <c r="P91" i="10"/>
  <c r="N20" i="10"/>
  <c r="N18" i="10" s="1"/>
  <c r="K143" i="10"/>
  <c r="I131" i="10"/>
  <c r="K131" i="10" s="1"/>
  <c r="K131" i="9"/>
  <c r="P68" i="10"/>
  <c r="M66" i="10"/>
  <c r="P66" i="10" s="1"/>
  <c r="P165" i="7"/>
  <c r="P167" i="9"/>
  <c r="P351" i="8"/>
  <c r="P43" i="8"/>
  <c r="L685" i="9"/>
  <c r="O685" i="9" s="1"/>
  <c r="O43" i="9"/>
  <c r="M24" i="9"/>
  <c r="M149" i="10"/>
  <c r="P149" i="10" s="1"/>
  <c r="P348" i="10"/>
  <c r="L31" i="8"/>
  <c r="O31" i="8" s="1"/>
  <c r="P300" i="9"/>
  <c r="P184" i="9"/>
  <c r="L467" i="10"/>
  <c r="O467" i="10" s="1"/>
  <c r="O167" i="9"/>
  <c r="M298" i="10"/>
  <c r="P298" i="10" s="1"/>
  <c r="L389" i="10"/>
  <c r="O389" i="10" s="1"/>
  <c r="L655" i="10"/>
  <c r="O655" i="10" s="1"/>
  <c r="O657" i="10"/>
  <c r="O167" i="6"/>
  <c r="K434" i="8"/>
  <c r="O167" i="8"/>
  <c r="L13" i="8"/>
  <c r="L11" i="8" s="1"/>
  <c r="K143" i="9"/>
  <c r="O183" i="10"/>
  <c r="O330" i="10"/>
  <c r="L402" i="10"/>
  <c r="O402" i="10" s="1"/>
  <c r="O404" i="10"/>
  <c r="M16" i="10"/>
  <c r="P26" i="10"/>
  <c r="L16" i="10"/>
  <c r="O26" i="10"/>
  <c r="I65" i="10"/>
  <c r="K65" i="10" s="1"/>
  <c r="K77" i="10"/>
  <c r="L41" i="10"/>
  <c r="O43" i="10"/>
  <c r="O29" i="10"/>
  <c r="L444" i="10"/>
  <c r="O444" i="10" s="1"/>
  <c r="O347" i="10"/>
  <c r="N345" i="10"/>
  <c r="O345" i="10" s="1"/>
  <c r="K174" i="10"/>
  <c r="I164" i="10"/>
  <c r="K164" i="10" s="1"/>
  <c r="M20" i="10"/>
  <c r="M13" i="10"/>
  <c r="M11" i="10" s="1"/>
  <c r="P23" i="10"/>
  <c r="L227" i="10"/>
  <c r="M21" i="10"/>
  <c r="O56" i="10"/>
  <c r="L315" i="8"/>
  <c r="O315" i="8" s="1"/>
  <c r="N53" i="9"/>
  <c r="M328" i="10"/>
  <c r="P328" i="10" s="1"/>
  <c r="P19" i="10"/>
  <c r="K237" i="10"/>
  <c r="I226" i="10"/>
  <c r="P347" i="10"/>
  <c r="P134" i="10"/>
  <c r="M132" i="10"/>
  <c r="P132" i="10" s="1"/>
  <c r="P56" i="8"/>
  <c r="P348" i="8"/>
  <c r="L315" i="9"/>
  <c r="O315" i="9" s="1"/>
  <c r="O546" i="10"/>
  <c r="L544" i="10"/>
  <c r="O544" i="10" s="1"/>
  <c r="M402" i="10"/>
  <c r="P402" i="10" s="1"/>
  <c r="N9" i="10"/>
  <c r="N11" i="10"/>
  <c r="L53" i="10"/>
  <c r="O53" i="10" s="1"/>
  <c r="M24" i="10"/>
  <c r="P24" i="10" s="1"/>
  <c r="M28" i="10"/>
  <c r="P28" i="10" s="1"/>
  <c r="P29" i="10"/>
  <c r="O90" i="10"/>
  <c r="O9" i="10"/>
  <c r="K433" i="10"/>
  <c r="I417" i="10"/>
  <c r="K417" i="10" s="1"/>
  <c r="O421" i="10"/>
  <c r="L419" i="10"/>
  <c r="O167" i="10"/>
  <c r="L165" i="10"/>
  <c r="O165" i="10" s="1"/>
  <c r="M9" i="10"/>
  <c r="P12" i="10"/>
  <c r="M277" i="10"/>
  <c r="P277" i="10" s="1"/>
  <c r="P279" i="10"/>
  <c r="N88" i="10"/>
  <c r="P88" i="10" s="1"/>
  <c r="P90" i="10"/>
  <c r="L24" i="10"/>
  <c r="O24" i="10" s="1"/>
  <c r="P317" i="10"/>
  <c r="M315" i="10"/>
  <c r="P315" i="10" s="1"/>
  <c r="P90" i="9"/>
  <c r="M414" i="10"/>
  <c r="P414" i="10" s="1"/>
  <c r="P419" i="10"/>
  <c r="L261" i="10"/>
  <c r="O261" i="10" s="1"/>
  <c r="O263" i="10"/>
  <c r="M53" i="10"/>
  <c r="L20" i="10"/>
  <c r="L277" i="7"/>
  <c r="O277" i="7" s="1"/>
  <c r="P167" i="7"/>
  <c r="O391" i="9"/>
  <c r="L389" i="9"/>
  <c r="O389" i="9" s="1"/>
  <c r="L119" i="9"/>
  <c r="O119" i="9" s="1"/>
  <c r="O121" i="9"/>
  <c r="O90" i="9"/>
  <c r="K434" i="9"/>
  <c r="I418" i="9"/>
  <c r="K418" i="9" s="1"/>
  <c r="P44" i="6"/>
  <c r="P330" i="7"/>
  <c r="O55" i="7"/>
  <c r="K417" i="9"/>
  <c r="O687" i="7"/>
  <c r="O90" i="7"/>
  <c r="L149" i="8"/>
  <c r="O149" i="8" s="1"/>
  <c r="O55" i="8"/>
  <c r="N298" i="9"/>
  <c r="P298" i="9" s="1"/>
  <c r="O184" i="9"/>
  <c r="M88" i="9"/>
  <c r="P88" i="9" s="1"/>
  <c r="M389" i="9"/>
  <c r="P389" i="9" s="1"/>
  <c r="N14" i="8"/>
  <c r="O167" i="5"/>
  <c r="M149" i="7"/>
  <c r="P149" i="7" s="1"/>
  <c r="L132" i="8"/>
  <c r="O132" i="8" s="1"/>
  <c r="O330" i="9"/>
  <c r="M402" i="9"/>
  <c r="P402" i="9" s="1"/>
  <c r="O55" i="9"/>
  <c r="O347" i="8"/>
  <c r="P55" i="3"/>
  <c r="P347" i="7"/>
  <c r="L34" i="8"/>
  <c r="O34" i="8" s="1"/>
  <c r="L389" i="8"/>
  <c r="O389" i="8" s="1"/>
  <c r="O525" i="9"/>
  <c r="L523" i="9"/>
  <c r="O523" i="9" s="1"/>
  <c r="N181" i="9"/>
  <c r="P181" i="9" s="1"/>
  <c r="N13" i="9"/>
  <c r="N11" i="9" s="1"/>
  <c r="N20" i="9"/>
  <c r="N18" i="9" s="1"/>
  <c r="P151" i="9"/>
  <c r="M149" i="9"/>
  <c r="P149" i="9" s="1"/>
  <c r="P56" i="9"/>
  <c r="K364" i="8"/>
  <c r="L119" i="8"/>
  <c r="O119" i="8" s="1"/>
  <c r="O404" i="9"/>
  <c r="L402" i="9"/>
  <c r="O402" i="9" s="1"/>
  <c r="M345" i="9"/>
  <c r="P347" i="9"/>
  <c r="I226" i="9"/>
  <c r="K248" i="9"/>
  <c r="O347" i="9"/>
  <c r="N345" i="9"/>
  <c r="O345" i="9" s="1"/>
  <c r="O183" i="9"/>
  <c r="P419" i="9"/>
  <c r="M414" i="9"/>
  <c r="P414" i="9" s="1"/>
  <c r="O300" i="9"/>
  <c r="L298" i="9"/>
  <c r="L181" i="9"/>
  <c r="O12" i="9"/>
  <c r="L9" i="9"/>
  <c r="M20" i="9"/>
  <c r="M13" i="9"/>
  <c r="M21" i="9"/>
  <c r="P23" i="9"/>
  <c r="M14" i="9"/>
  <c r="P15" i="9"/>
  <c r="K433" i="9"/>
  <c r="L227" i="9"/>
  <c r="O238" i="9"/>
  <c r="P279" i="9"/>
  <c r="M277" i="9"/>
  <c r="P277" i="9" s="1"/>
  <c r="N16" i="9"/>
  <c r="N14" i="9" s="1"/>
  <c r="N24" i="9"/>
  <c r="O24" i="9" s="1"/>
  <c r="O19" i="9"/>
  <c r="O15" i="9"/>
  <c r="O26" i="9"/>
  <c r="L16" i="9"/>
  <c r="L14" i="9" s="1"/>
  <c r="P119" i="5"/>
  <c r="O446" i="9"/>
  <c r="L444" i="9"/>
  <c r="O444" i="9" s="1"/>
  <c r="O631" i="9"/>
  <c r="L629" i="9"/>
  <c r="O629" i="9" s="1"/>
  <c r="O421" i="9"/>
  <c r="L419" i="9"/>
  <c r="M165" i="9"/>
  <c r="P165" i="9" s="1"/>
  <c r="P26" i="9"/>
  <c r="O23" i="7"/>
  <c r="K417" i="8"/>
  <c r="P330" i="9"/>
  <c r="P331" i="9"/>
  <c r="N41" i="9"/>
  <c r="P43" i="9"/>
  <c r="L20" i="9"/>
  <c r="L18" i="9" s="1"/>
  <c r="O88" i="9"/>
  <c r="O23" i="9"/>
  <c r="N21" i="9"/>
  <c r="M9" i="9"/>
  <c r="O657" i="7"/>
  <c r="P183" i="6"/>
  <c r="O546" i="9"/>
  <c r="L544" i="9"/>
  <c r="O544" i="9" s="1"/>
  <c r="O788" i="9"/>
  <c r="L786" i="9"/>
  <c r="O786" i="9" s="1"/>
  <c r="O279" i="9"/>
  <c r="L277" i="9"/>
  <c r="O277" i="9" s="1"/>
  <c r="N414" i="9"/>
  <c r="N328" i="9"/>
  <c r="N66" i="9"/>
  <c r="P68" i="9"/>
  <c r="M28" i="9"/>
  <c r="P28" i="9" s="1"/>
  <c r="P29" i="9"/>
  <c r="O68" i="9"/>
  <c r="N9" i="9"/>
  <c r="O165" i="9"/>
  <c r="L315" i="6"/>
  <c r="O315" i="6" s="1"/>
  <c r="M66" i="6"/>
  <c r="P66" i="6" s="1"/>
  <c r="O53" i="7"/>
  <c r="L20" i="7"/>
  <c r="L18" i="7" s="1"/>
  <c r="M119" i="8"/>
  <c r="P119" i="8" s="1"/>
  <c r="N24" i="8"/>
  <c r="L30" i="8"/>
  <c r="O30" i="8" s="1"/>
  <c r="P90" i="8"/>
  <c r="P167" i="8"/>
  <c r="N165" i="8"/>
  <c r="P165" i="8" s="1"/>
  <c r="O330" i="7"/>
  <c r="O328" i="8"/>
  <c r="P328" i="8"/>
  <c r="O264" i="4"/>
  <c r="O347" i="7"/>
  <c r="L328" i="7"/>
  <c r="O328" i="7" s="1"/>
  <c r="L21" i="8"/>
  <c r="P331" i="8"/>
  <c r="M66" i="8"/>
  <c r="P66" i="8" s="1"/>
  <c r="O43" i="8"/>
  <c r="L41" i="8"/>
  <c r="O41" i="8" s="1"/>
  <c r="O183" i="6"/>
  <c r="P41" i="7"/>
  <c r="M41" i="8"/>
  <c r="P41" i="8" s="1"/>
  <c r="M14" i="8"/>
  <c r="P26" i="8"/>
  <c r="M24" i="8"/>
  <c r="L402" i="8"/>
  <c r="O402" i="8" s="1"/>
  <c r="O404" i="8"/>
  <c r="P404" i="8"/>
  <c r="M402" i="8"/>
  <c r="P402" i="8" s="1"/>
  <c r="P43" i="7"/>
  <c r="N88" i="8"/>
  <c r="O88" i="8" s="1"/>
  <c r="P347" i="8"/>
  <c r="N261" i="8"/>
  <c r="O261" i="8" s="1"/>
  <c r="M277" i="8"/>
  <c r="P277" i="8" s="1"/>
  <c r="M389" i="8"/>
  <c r="P389" i="8" s="1"/>
  <c r="O68" i="8"/>
  <c r="L66" i="8"/>
  <c r="O66" i="8" s="1"/>
  <c r="M132" i="8"/>
  <c r="P132" i="8" s="1"/>
  <c r="O546" i="5"/>
  <c r="P132" i="5"/>
  <c r="M345" i="7"/>
  <c r="P345" i="7" s="1"/>
  <c r="O43" i="7"/>
  <c r="O43" i="6"/>
  <c r="P90" i="7"/>
  <c r="O26" i="7"/>
  <c r="P19" i="8"/>
  <c r="O15" i="8"/>
  <c r="N20" i="8"/>
  <c r="N18" i="8" s="1"/>
  <c r="N13" i="8"/>
  <c r="N21" i="8"/>
  <c r="N414" i="8"/>
  <c r="K76" i="8"/>
  <c r="I64" i="8"/>
  <c r="K64" i="8" s="1"/>
  <c r="L227" i="8"/>
  <c r="O238" i="8"/>
  <c r="L132" i="4"/>
  <c r="O132" i="4" s="1"/>
  <c r="L34" i="5"/>
  <c r="O34" i="5" s="1"/>
  <c r="P55" i="6"/>
  <c r="K364" i="7"/>
  <c r="L16" i="7"/>
  <c r="O261" i="7"/>
  <c r="L13" i="7"/>
  <c r="L11" i="7" s="1"/>
  <c r="L629" i="8"/>
  <c r="O629" i="8" s="1"/>
  <c r="P12" i="8"/>
  <c r="M9" i="8"/>
  <c r="M261" i="8"/>
  <c r="P261" i="8" s="1"/>
  <c r="M53" i="8"/>
  <c r="P53" i="8" s="1"/>
  <c r="P300" i="8"/>
  <c r="M298" i="8"/>
  <c r="P298" i="8" s="1"/>
  <c r="L9" i="8"/>
  <c r="P330" i="8"/>
  <c r="O330" i="8"/>
  <c r="P23" i="8"/>
  <c r="M20" i="8"/>
  <c r="M13" i="8"/>
  <c r="P330" i="6"/>
  <c r="O151" i="7"/>
  <c r="O446" i="8"/>
  <c r="L444" i="8"/>
  <c r="O444" i="8" s="1"/>
  <c r="M149" i="8"/>
  <c r="P149" i="8" s="1"/>
  <c r="K77" i="8"/>
  <c r="I65" i="8"/>
  <c r="K65" i="8" s="1"/>
  <c r="L24" i="8"/>
  <c r="O26" i="8"/>
  <c r="L16" i="8"/>
  <c r="O16" i="8" s="1"/>
  <c r="O53" i="8"/>
  <c r="O90" i="5"/>
  <c r="K77" i="6"/>
  <c r="L181" i="8"/>
  <c r="O181" i="8" s="1"/>
  <c r="O183" i="8"/>
  <c r="L298" i="8"/>
  <c r="O298" i="8" s="1"/>
  <c r="P347" i="5"/>
  <c r="L277" i="6"/>
  <c r="O277" i="6" s="1"/>
  <c r="O56" i="6"/>
  <c r="O55" i="6"/>
  <c r="L24" i="7"/>
  <c r="K433" i="8"/>
  <c r="K559" i="8"/>
  <c r="O279" i="8"/>
  <c r="L277" i="8"/>
  <c r="O277" i="8" s="1"/>
  <c r="M28" i="8"/>
  <c r="P28" i="8" s="1"/>
  <c r="O29" i="8"/>
  <c r="N9" i="8"/>
  <c r="L20" i="8"/>
  <c r="O328" i="6"/>
  <c r="O421" i="8"/>
  <c r="L419" i="8"/>
  <c r="N345" i="8"/>
  <c r="K237" i="8"/>
  <c r="I226" i="8"/>
  <c r="M414" i="8"/>
  <c r="P414" i="8" s="1"/>
  <c r="O23" i="8"/>
  <c r="P330" i="5"/>
  <c r="L261" i="6"/>
  <c r="O261" i="6" s="1"/>
  <c r="P43" i="6"/>
  <c r="L34" i="7"/>
  <c r="O34" i="7" s="1"/>
  <c r="L66" i="7"/>
  <c r="O66" i="7" s="1"/>
  <c r="P300" i="7"/>
  <c r="M298" i="7"/>
  <c r="P298" i="7" s="1"/>
  <c r="M24" i="3"/>
  <c r="L227" i="6"/>
  <c r="M181" i="7"/>
  <c r="P181" i="7" s="1"/>
  <c r="O134" i="5"/>
  <c r="O68" i="6"/>
  <c r="O91" i="6"/>
  <c r="M402" i="6"/>
  <c r="P402" i="6" s="1"/>
  <c r="L31" i="7"/>
  <c r="O31" i="7" s="1"/>
  <c r="N16" i="7"/>
  <c r="N14" i="7" s="1"/>
  <c r="N24" i="7"/>
  <c r="M389" i="5"/>
  <c r="P389" i="5" s="1"/>
  <c r="P261" i="4"/>
  <c r="N41" i="6"/>
  <c r="P41" i="6" s="1"/>
  <c r="L467" i="7"/>
  <c r="O467" i="7" s="1"/>
  <c r="J417" i="6"/>
  <c r="K417" i="6" s="1"/>
  <c r="K434" i="7"/>
  <c r="I418" i="7"/>
  <c r="K418" i="7" s="1"/>
  <c r="I65" i="3"/>
  <c r="K65" i="3" s="1"/>
  <c r="P347" i="4"/>
  <c r="N165" i="5"/>
  <c r="O165" i="5" s="1"/>
  <c r="L149" i="5"/>
  <c r="O149" i="5" s="1"/>
  <c r="O168" i="5"/>
  <c r="P91" i="6"/>
  <c r="N165" i="6"/>
  <c r="O165" i="6" s="1"/>
  <c r="P328" i="6"/>
  <c r="P391" i="6"/>
  <c r="M328" i="7"/>
  <c r="P328" i="7" s="1"/>
  <c r="L419" i="7"/>
  <c r="O419" i="7" s="1"/>
  <c r="L227" i="7"/>
  <c r="K143" i="7"/>
  <c r="I131" i="7"/>
  <c r="K131" i="7" s="1"/>
  <c r="P300" i="6"/>
  <c r="M298" i="6"/>
  <c r="P298" i="6" s="1"/>
  <c r="I418" i="6"/>
  <c r="K418" i="6" s="1"/>
  <c r="O347" i="6"/>
  <c r="N181" i="6"/>
  <c r="O181" i="6" s="1"/>
  <c r="M389" i="7"/>
  <c r="P389" i="7" s="1"/>
  <c r="L88" i="7"/>
  <c r="O88" i="7" s="1"/>
  <c r="P134" i="7"/>
  <c r="M132" i="7"/>
  <c r="P132" i="7" s="1"/>
  <c r="O43" i="5"/>
  <c r="O53" i="6"/>
  <c r="L149" i="6"/>
  <c r="O149" i="6" s="1"/>
  <c r="P347" i="6"/>
  <c r="I418" i="4"/>
  <c r="K418" i="4" s="1"/>
  <c r="P68" i="7"/>
  <c r="M66" i="7"/>
  <c r="P66" i="7" s="1"/>
  <c r="O391" i="7"/>
  <c r="L389" i="7"/>
  <c r="O389" i="7" s="1"/>
  <c r="P53" i="6"/>
  <c r="M119" i="7"/>
  <c r="P119" i="7" s="1"/>
  <c r="P121" i="7"/>
  <c r="L30" i="7"/>
  <c r="O30" i="7" s="1"/>
  <c r="O33" i="7"/>
  <c r="P9" i="7"/>
  <c r="N37" i="7"/>
  <c r="P55" i="4"/>
  <c r="O183" i="5"/>
  <c r="M21" i="6"/>
  <c r="P21" i="6" s="1"/>
  <c r="P23" i="6"/>
  <c r="O546" i="7"/>
  <c r="L544" i="7"/>
  <c r="O544" i="7" s="1"/>
  <c r="I164" i="7"/>
  <c r="K164" i="7" s="1"/>
  <c r="K174" i="7"/>
  <c r="M20" i="7"/>
  <c r="M21" i="7"/>
  <c r="M13" i="7"/>
  <c r="P23" i="7"/>
  <c r="I64" i="7"/>
  <c r="K64" i="7" s="1"/>
  <c r="K76" i="7"/>
  <c r="K417" i="7"/>
  <c r="P317" i="7"/>
  <c r="M315" i="7"/>
  <c r="P315" i="7" s="1"/>
  <c r="O29" i="7"/>
  <c r="K433" i="7"/>
  <c r="M261" i="7"/>
  <c r="P261" i="7" s="1"/>
  <c r="P263" i="7"/>
  <c r="L402" i="7"/>
  <c r="O402" i="7" s="1"/>
  <c r="O404" i="7"/>
  <c r="O525" i="7"/>
  <c r="L523" i="7"/>
  <c r="O523" i="7" s="1"/>
  <c r="P55" i="7"/>
  <c r="M53" i="7"/>
  <c r="L41" i="7"/>
  <c r="M24" i="7"/>
  <c r="P26" i="7"/>
  <c r="M16" i="7"/>
  <c r="M14" i="7" s="1"/>
  <c r="L165" i="7"/>
  <c r="O165" i="7" s="1"/>
  <c r="K237" i="7"/>
  <c r="I226" i="7"/>
  <c r="O9" i="7"/>
  <c r="O134" i="3"/>
  <c r="P90" i="4"/>
  <c r="M149" i="5"/>
  <c r="P149" i="5" s="1"/>
  <c r="O345" i="7"/>
  <c r="P29" i="7"/>
  <c r="M28" i="7"/>
  <c r="P28" i="7" s="1"/>
  <c r="M277" i="7"/>
  <c r="P277" i="7" s="1"/>
  <c r="P279" i="7"/>
  <c r="L132" i="7"/>
  <c r="O132" i="7" s="1"/>
  <c r="O263" i="7"/>
  <c r="K77" i="7"/>
  <c r="I65" i="7"/>
  <c r="K65" i="7" s="1"/>
  <c r="O330" i="6"/>
  <c r="N20" i="7"/>
  <c r="N18" i="7" s="1"/>
  <c r="N13" i="7"/>
  <c r="N21" i="7"/>
  <c r="O21" i="7" s="1"/>
  <c r="L16" i="5"/>
  <c r="O16" i="5" s="1"/>
  <c r="M20" i="6"/>
  <c r="M18" i="6" s="1"/>
  <c r="L629" i="7"/>
  <c r="O629" i="7" s="1"/>
  <c r="O446" i="7"/>
  <c r="L444" i="7"/>
  <c r="O444" i="7" s="1"/>
  <c r="P15" i="7"/>
  <c r="O183" i="7"/>
  <c r="L181" i="7"/>
  <c r="O181" i="7" s="1"/>
  <c r="M88" i="7"/>
  <c r="P88" i="7" s="1"/>
  <c r="O121" i="7"/>
  <c r="L119" i="7"/>
  <c r="O119" i="7" s="1"/>
  <c r="I543" i="3"/>
  <c r="K543" i="3" s="1"/>
  <c r="L132" i="5"/>
  <c r="O132" i="5" s="1"/>
  <c r="L119" i="5"/>
  <c r="O119" i="5" s="1"/>
  <c r="M277" i="6"/>
  <c r="P277" i="6" s="1"/>
  <c r="N13" i="6"/>
  <c r="N10" i="6" s="1"/>
  <c r="N8" i="6" s="1"/>
  <c r="L119" i="6"/>
  <c r="O119" i="6" s="1"/>
  <c r="O66" i="3"/>
  <c r="L444" i="5"/>
  <c r="O444" i="5" s="1"/>
  <c r="P134" i="5"/>
  <c r="L685" i="6"/>
  <c r="O685" i="6" s="1"/>
  <c r="N20" i="6"/>
  <c r="N18" i="6" s="1"/>
  <c r="L389" i="6"/>
  <c r="O389" i="6" s="1"/>
  <c r="L298" i="6"/>
  <c r="O298" i="6" s="1"/>
  <c r="P347" i="3"/>
  <c r="P345" i="6"/>
  <c r="P298" i="5"/>
  <c r="O351" i="6"/>
  <c r="O347" i="3"/>
  <c r="P345" i="3"/>
  <c r="P168" i="4"/>
  <c r="O44" i="6"/>
  <c r="P317" i="3"/>
  <c r="O43" i="3"/>
  <c r="O298" i="5"/>
  <c r="N345" i="5"/>
  <c r="P345" i="5" s="1"/>
  <c r="O391" i="5"/>
  <c r="L523" i="6"/>
  <c r="O523" i="6" s="1"/>
  <c r="N14" i="6"/>
  <c r="K76" i="6"/>
  <c r="P151" i="6"/>
  <c r="M149" i="6"/>
  <c r="P149" i="6" s="1"/>
  <c r="O263" i="4"/>
  <c r="P90" i="5"/>
  <c r="N24" i="6"/>
  <c r="O24" i="6" s="1"/>
  <c r="L31" i="5"/>
  <c r="O31" i="5" s="1"/>
  <c r="L30" i="5"/>
  <c r="O30" i="5" s="1"/>
  <c r="P404" i="5"/>
  <c r="L629" i="6"/>
  <c r="O629" i="6" s="1"/>
  <c r="L402" i="6"/>
  <c r="O402" i="6" s="1"/>
  <c r="L345" i="6"/>
  <c r="O345" i="6" s="1"/>
  <c r="P121" i="6"/>
  <c r="M119" i="6"/>
  <c r="P119" i="6" s="1"/>
  <c r="N16" i="1"/>
  <c r="N14" i="1" s="1"/>
  <c r="P14" i="1" s="1"/>
  <c r="P331" i="1"/>
  <c r="N20" i="1"/>
  <c r="N18" i="1" s="1"/>
  <c r="O55" i="4"/>
  <c r="K143" i="4"/>
  <c r="N88" i="5"/>
  <c r="P88" i="5" s="1"/>
  <c r="O91" i="5"/>
  <c r="P331" i="5"/>
  <c r="P56" i="6"/>
  <c r="O546" i="6"/>
  <c r="O9" i="6"/>
  <c r="P279" i="4"/>
  <c r="L24" i="5"/>
  <c r="L41" i="5"/>
  <c r="O41" i="5" s="1"/>
  <c r="P44" i="5"/>
  <c r="P263" i="6"/>
  <c r="M261" i="6"/>
  <c r="P261" i="6" s="1"/>
  <c r="M11" i="6"/>
  <c r="P12" i="6"/>
  <c r="M9" i="6"/>
  <c r="O36" i="6"/>
  <c r="L34" i="6"/>
  <c r="O34" i="6" s="1"/>
  <c r="P26" i="6"/>
  <c r="M16" i="6"/>
  <c r="M10" i="6" s="1"/>
  <c r="P168" i="5"/>
  <c r="M414" i="6"/>
  <c r="P414" i="6" s="1"/>
  <c r="P19" i="6"/>
  <c r="M28" i="6"/>
  <c r="P28" i="6" s="1"/>
  <c r="O421" i="6"/>
  <c r="L419" i="6"/>
  <c r="O23" i="6"/>
  <c r="L20" i="6"/>
  <c r="L13" i="6"/>
  <c r="L21" i="6"/>
  <c r="O21" i="6" s="1"/>
  <c r="I131" i="6"/>
  <c r="K131" i="6" s="1"/>
  <c r="K143" i="6"/>
  <c r="K248" i="6"/>
  <c r="I226" i="6"/>
  <c r="K559" i="6"/>
  <c r="O446" i="6"/>
  <c r="L444" i="6"/>
  <c r="O444" i="6" s="1"/>
  <c r="P167" i="6"/>
  <c r="M165" i="6"/>
  <c r="K543" i="6"/>
  <c r="O26" i="6"/>
  <c r="L16" i="6"/>
  <c r="O16" i="6" s="1"/>
  <c r="K417" i="3"/>
  <c r="K364" i="4"/>
  <c r="P53" i="5"/>
  <c r="K374" i="5"/>
  <c r="O263" i="5"/>
  <c r="O469" i="6"/>
  <c r="L467" i="6"/>
  <c r="O467" i="6" s="1"/>
  <c r="O29" i="6"/>
  <c r="M24" i="6"/>
  <c r="O15" i="6"/>
  <c r="O33" i="6"/>
  <c r="L30" i="6"/>
  <c r="O30" i="6" s="1"/>
  <c r="O657" i="5"/>
  <c r="L655" i="5"/>
  <c r="O655" i="5" s="1"/>
  <c r="N655" i="6"/>
  <c r="O655" i="6" s="1"/>
  <c r="K77" i="4"/>
  <c r="O26" i="5"/>
  <c r="P184" i="5"/>
  <c r="N14" i="4"/>
  <c r="M328" i="5"/>
  <c r="P328" i="5" s="1"/>
  <c r="N24" i="5"/>
  <c r="P24" i="5" s="1"/>
  <c r="O53" i="1"/>
  <c r="N24" i="4"/>
  <c r="O24" i="4" s="1"/>
  <c r="P91" i="5"/>
  <c r="L315" i="5"/>
  <c r="O315" i="5" s="1"/>
  <c r="N261" i="5"/>
  <c r="O261" i="5" s="1"/>
  <c r="K433" i="3"/>
  <c r="O525" i="3"/>
  <c r="P183" i="4"/>
  <c r="L402" i="4"/>
  <c r="O402" i="4" s="1"/>
  <c r="P68" i="4"/>
  <c r="P300" i="5"/>
  <c r="O300" i="5"/>
  <c r="I418" i="3"/>
  <c r="K418" i="3" s="1"/>
  <c r="N345" i="4"/>
  <c r="P345" i="4" s="1"/>
  <c r="P59" i="3"/>
  <c r="P69" i="3"/>
  <c r="P348" i="3"/>
  <c r="L523" i="5"/>
  <c r="O523" i="5" s="1"/>
  <c r="O184" i="5"/>
  <c r="O347" i="5"/>
  <c r="K364" i="5"/>
  <c r="P167" i="5"/>
  <c r="O298" i="3"/>
  <c r="L629" i="3"/>
  <c r="O629" i="3" s="1"/>
  <c r="N53" i="3"/>
  <c r="P53" i="3" s="1"/>
  <c r="P263" i="4"/>
  <c r="M119" i="4"/>
  <c r="P119" i="4" s="1"/>
  <c r="O547" i="5"/>
  <c r="P183" i="5"/>
  <c r="M277" i="5"/>
  <c r="P277" i="5" s="1"/>
  <c r="P277" i="2"/>
  <c r="O317" i="3"/>
  <c r="O330" i="3"/>
  <c r="M298" i="4"/>
  <c r="P298" i="4" s="1"/>
  <c r="N544" i="5"/>
  <c r="L467" i="5"/>
  <c r="O467" i="5" s="1"/>
  <c r="P317" i="5"/>
  <c r="M315" i="5"/>
  <c r="P315" i="5" s="1"/>
  <c r="O238" i="5"/>
  <c r="L227" i="5"/>
  <c r="I226" i="5"/>
  <c r="K237" i="5"/>
  <c r="P263" i="5"/>
  <c r="M261" i="5"/>
  <c r="N20" i="5"/>
  <c r="N18" i="5" s="1"/>
  <c r="N13" i="5"/>
  <c r="N10" i="5" s="1"/>
  <c r="L328" i="5"/>
  <c r="O328" i="5" s="1"/>
  <c r="P23" i="5"/>
  <c r="M20" i="5"/>
  <c r="M13" i="5"/>
  <c r="M21" i="5"/>
  <c r="N9" i="5"/>
  <c r="L402" i="5"/>
  <c r="O402" i="5" s="1"/>
  <c r="M16" i="5"/>
  <c r="P16" i="5" s="1"/>
  <c r="P26" i="5"/>
  <c r="L629" i="5"/>
  <c r="O629" i="5" s="1"/>
  <c r="I418" i="5"/>
  <c r="K418" i="5" s="1"/>
  <c r="K434" i="5"/>
  <c r="K174" i="5"/>
  <c r="I164" i="5"/>
  <c r="K164" i="5" s="1"/>
  <c r="K76" i="5"/>
  <c r="I64" i="5"/>
  <c r="K64" i="5" s="1"/>
  <c r="I65" i="5"/>
  <c r="K65" i="5" s="1"/>
  <c r="K77" i="5"/>
  <c r="P328" i="3"/>
  <c r="O421" i="5"/>
  <c r="L419" i="5"/>
  <c r="K433" i="5"/>
  <c r="I417" i="5"/>
  <c r="K417" i="5" s="1"/>
  <c r="P15" i="5"/>
  <c r="O68" i="5"/>
  <c r="L66" i="5"/>
  <c r="O66" i="5" s="1"/>
  <c r="O12" i="5"/>
  <c r="L9" i="5"/>
  <c r="L30" i="4"/>
  <c r="O30" i="4" s="1"/>
  <c r="N88" i="4"/>
  <c r="P88" i="4" s="1"/>
  <c r="O279" i="5"/>
  <c r="L277" i="5"/>
  <c r="O277" i="5" s="1"/>
  <c r="L13" i="5"/>
  <c r="L11" i="5" s="1"/>
  <c r="L20" i="5"/>
  <c r="O23" i="5"/>
  <c r="M66" i="5"/>
  <c r="P66" i="5" s="1"/>
  <c r="M41" i="5"/>
  <c r="O19" i="5"/>
  <c r="O59" i="3"/>
  <c r="I131" i="5"/>
  <c r="K131" i="5" s="1"/>
  <c r="K143" i="5"/>
  <c r="P29" i="5"/>
  <c r="M28" i="5"/>
  <c r="P28" i="5" s="1"/>
  <c r="M9" i="5"/>
  <c r="M414" i="5"/>
  <c r="P414" i="5" s="1"/>
  <c r="P419" i="5"/>
  <c r="O55" i="5"/>
  <c r="L66" i="4"/>
  <c r="O66" i="4" s="1"/>
  <c r="P56" i="4"/>
  <c r="P55" i="5"/>
  <c r="L345" i="5"/>
  <c r="N181" i="5"/>
  <c r="P181" i="5" s="1"/>
  <c r="O53" i="5"/>
  <c r="N21" i="5"/>
  <c r="O21" i="5" s="1"/>
  <c r="O55" i="1"/>
  <c r="M53" i="4"/>
  <c r="P53" i="4" s="1"/>
  <c r="P391" i="2"/>
  <c r="P55" i="1"/>
  <c r="P68" i="2"/>
  <c r="O389" i="2"/>
  <c r="L685" i="3"/>
  <c r="O685" i="3" s="1"/>
  <c r="P90" i="3"/>
  <c r="L315" i="3"/>
  <c r="O315" i="3" s="1"/>
  <c r="M149" i="4"/>
  <c r="P149" i="4" s="1"/>
  <c r="M315" i="4"/>
  <c r="P315" i="4" s="1"/>
  <c r="L34" i="4"/>
  <c r="O34" i="4" s="1"/>
  <c r="L31" i="4"/>
  <c r="O31" i="4" s="1"/>
  <c r="M389" i="4"/>
  <c r="P389" i="4" s="1"/>
  <c r="P391" i="4"/>
  <c r="P68" i="1"/>
  <c r="P134" i="3"/>
  <c r="M132" i="4"/>
  <c r="P132" i="4" s="1"/>
  <c r="L389" i="4"/>
  <c r="O389" i="4" s="1"/>
  <c r="O391" i="4"/>
  <c r="L277" i="4"/>
  <c r="O277" i="4" s="1"/>
  <c r="O279" i="4"/>
  <c r="O300" i="1"/>
  <c r="K654" i="1"/>
  <c r="O263" i="2"/>
  <c r="K522" i="3"/>
  <c r="K131" i="3"/>
  <c r="L53" i="4"/>
  <c r="O53" i="4" s="1"/>
  <c r="P91" i="4"/>
  <c r="K537" i="3"/>
  <c r="M165" i="4"/>
  <c r="P165" i="4" s="1"/>
  <c r="K76" i="4"/>
  <c r="I64" i="4"/>
  <c r="K64" i="4" s="1"/>
  <c r="P348" i="4"/>
  <c r="K233" i="1"/>
  <c r="P43" i="2"/>
  <c r="M66" i="2"/>
  <c r="P66" i="2" s="1"/>
  <c r="K669" i="1"/>
  <c r="O687" i="2"/>
  <c r="M16" i="2"/>
  <c r="M14" i="2" s="1"/>
  <c r="M261" i="2"/>
  <c r="P261" i="2" s="1"/>
  <c r="L655" i="2"/>
  <c r="O655" i="2" s="1"/>
  <c r="N41" i="3"/>
  <c r="O41" i="3" s="1"/>
  <c r="O347" i="2"/>
  <c r="L402" i="3"/>
  <c r="O402" i="3" s="1"/>
  <c r="L523" i="4"/>
  <c r="O523" i="4" s="1"/>
  <c r="K433" i="4"/>
  <c r="I417" i="4"/>
  <c r="K417" i="4" s="1"/>
  <c r="L298" i="4"/>
  <c r="O298" i="4" s="1"/>
  <c r="L13" i="4"/>
  <c r="O23" i="4"/>
  <c r="L20" i="4"/>
  <c r="L18" i="4" s="1"/>
  <c r="M24" i="4"/>
  <c r="P26" i="4"/>
  <c r="M16" i="4"/>
  <c r="P16" i="4" s="1"/>
  <c r="O19" i="4"/>
  <c r="P23" i="4"/>
  <c r="M21" i="4"/>
  <c r="M13" i="4"/>
  <c r="M11" i="4" s="1"/>
  <c r="M20" i="4"/>
  <c r="O9" i="4"/>
  <c r="M544" i="4"/>
  <c r="P544" i="4" s="1"/>
  <c r="P545" i="4"/>
  <c r="P404" i="4"/>
  <c r="M402" i="4"/>
  <c r="P402" i="4" s="1"/>
  <c r="O421" i="4"/>
  <c r="L419" i="4"/>
  <c r="M181" i="4"/>
  <c r="P181" i="4" s="1"/>
  <c r="P44" i="4"/>
  <c r="O44" i="4"/>
  <c r="O631" i="4"/>
  <c r="L629" i="4"/>
  <c r="O629" i="4" s="1"/>
  <c r="O469" i="4"/>
  <c r="P444" i="4"/>
  <c r="I164" i="4"/>
  <c r="K164" i="4" s="1"/>
  <c r="K174" i="4"/>
  <c r="O90" i="4"/>
  <c r="L88" i="4"/>
  <c r="P330" i="4"/>
  <c r="N328" i="4"/>
  <c r="O328" i="4" s="1"/>
  <c r="O121" i="4"/>
  <c r="L119" i="4"/>
  <c r="O119" i="4" s="1"/>
  <c r="N20" i="4"/>
  <c r="N18" i="4" s="1"/>
  <c r="N13" i="4"/>
  <c r="N21" i="4"/>
  <c r="O21" i="4" s="1"/>
  <c r="P12" i="4"/>
  <c r="M9" i="4"/>
  <c r="L467" i="4"/>
  <c r="O467" i="4" s="1"/>
  <c r="P15" i="4"/>
  <c r="O43" i="4"/>
  <c r="P43" i="4"/>
  <c r="N41" i="4"/>
  <c r="N9" i="4"/>
  <c r="L165" i="4"/>
  <c r="O165" i="4" s="1"/>
  <c r="O181" i="4"/>
  <c r="K559" i="4"/>
  <c r="I543" i="4"/>
  <c r="K543" i="4" s="1"/>
  <c r="I226" i="4"/>
  <c r="K237" i="4"/>
  <c r="O446" i="4"/>
  <c r="L444" i="4"/>
  <c r="O444" i="4" s="1"/>
  <c r="P331" i="4"/>
  <c r="O331" i="4"/>
  <c r="P167" i="3"/>
  <c r="M165" i="3"/>
  <c r="P165" i="3" s="1"/>
  <c r="O167" i="3"/>
  <c r="L165" i="3"/>
  <c r="O165" i="3" s="1"/>
  <c r="O26" i="4"/>
  <c r="L16" i="4"/>
  <c r="P330" i="3"/>
  <c r="P29" i="4"/>
  <c r="M28" i="4"/>
  <c r="P28" i="4" s="1"/>
  <c r="O183" i="4"/>
  <c r="K559" i="2"/>
  <c r="O36" i="2"/>
  <c r="L328" i="3"/>
  <c r="O328" i="3" s="1"/>
  <c r="L544" i="4"/>
  <c r="O544" i="4" s="1"/>
  <c r="O546" i="4"/>
  <c r="L345" i="4"/>
  <c r="O347" i="4"/>
  <c r="O330" i="4"/>
  <c r="L261" i="4"/>
  <c r="O261" i="4" s="1"/>
  <c r="O151" i="4"/>
  <c r="L149" i="4"/>
  <c r="O149" i="4" s="1"/>
  <c r="O317" i="4"/>
  <c r="L315" i="4"/>
  <c r="O315" i="4" s="1"/>
  <c r="O29" i="4"/>
  <c r="L227" i="4"/>
  <c r="N526" i="1"/>
  <c r="O526" i="1" s="1"/>
  <c r="N525" i="1"/>
  <c r="N523" i="1" s="1"/>
  <c r="I226" i="3"/>
  <c r="K226" i="3" s="1"/>
  <c r="L345" i="3"/>
  <c r="O345" i="3" s="1"/>
  <c r="K275" i="3"/>
  <c r="P151" i="3"/>
  <c r="L655" i="3"/>
  <c r="O655" i="3" s="1"/>
  <c r="O657" i="3"/>
  <c r="K288" i="3"/>
  <c r="N132" i="3"/>
  <c r="O132" i="3" s="1"/>
  <c r="N88" i="3"/>
  <c r="P88" i="3" s="1"/>
  <c r="K143" i="3"/>
  <c r="O138" i="1"/>
  <c r="P149" i="3"/>
  <c r="M119" i="3"/>
  <c r="P119" i="3" s="1"/>
  <c r="M261" i="3"/>
  <c r="P261" i="3" s="1"/>
  <c r="N13" i="3"/>
  <c r="N11" i="3" s="1"/>
  <c r="P391" i="3"/>
  <c r="M389" i="3"/>
  <c r="P389" i="3" s="1"/>
  <c r="P389" i="1"/>
  <c r="P347" i="1"/>
  <c r="J593" i="1"/>
  <c r="J592" i="1" s="1"/>
  <c r="K592" i="1" s="1"/>
  <c r="P391" i="1"/>
  <c r="L298" i="2"/>
  <c r="O298" i="2" s="1"/>
  <c r="L165" i="2"/>
  <c r="O165" i="2" s="1"/>
  <c r="L30" i="2"/>
  <c r="L28" i="2" s="1"/>
  <c r="O28" i="2" s="1"/>
  <c r="L419" i="3"/>
  <c r="O419" i="3" s="1"/>
  <c r="L389" i="3"/>
  <c r="O389" i="3" s="1"/>
  <c r="P389" i="2"/>
  <c r="O402" i="1"/>
  <c r="O391" i="2"/>
  <c r="P330" i="1"/>
  <c r="O347" i="1"/>
  <c r="P395" i="2"/>
  <c r="M298" i="2"/>
  <c r="P298" i="2" s="1"/>
  <c r="P138" i="3"/>
  <c r="L34" i="3"/>
  <c r="O34" i="3" s="1"/>
  <c r="O331" i="1"/>
  <c r="J594" i="1"/>
  <c r="K594" i="1" s="1"/>
  <c r="O404" i="1"/>
  <c r="O391" i="1"/>
  <c r="O449" i="1"/>
  <c r="N446" i="1"/>
  <c r="N444" i="1" s="1"/>
  <c r="O444" i="1" s="1"/>
  <c r="K64" i="1"/>
  <c r="K675" i="1"/>
  <c r="O134" i="2"/>
  <c r="K174" i="2"/>
  <c r="O277" i="2"/>
  <c r="O55" i="2"/>
  <c r="O21" i="3"/>
  <c r="O300" i="3"/>
  <c r="P404" i="3"/>
  <c r="M402" i="3"/>
  <c r="P402" i="3" s="1"/>
  <c r="O68" i="3"/>
  <c r="O55" i="3"/>
  <c r="L53" i="3"/>
  <c r="P23" i="3"/>
  <c r="M20" i="3"/>
  <c r="M13" i="3"/>
  <c r="M11" i="3" s="1"/>
  <c r="M21" i="3"/>
  <c r="P21" i="3" s="1"/>
  <c r="O88" i="2"/>
  <c r="O469" i="3"/>
  <c r="L467" i="3"/>
  <c r="O467" i="3" s="1"/>
  <c r="P29" i="3"/>
  <c r="M28" i="3"/>
  <c r="P28" i="3" s="1"/>
  <c r="N16" i="3"/>
  <c r="N24" i="3"/>
  <c r="P402" i="1"/>
  <c r="P404" i="1"/>
  <c r="P69" i="1"/>
  <c r="K112" i="1"/>
  <c r="O53" i="2"/>
  <c r="P56" i="2"/>
  <c r="P347" i="2"/>
  <c r="M315" i="3"/>
  <c r="P315" i="3" s="1"/>
  <c r="O19" i="3"/>
  <c r="P300" i="3"/>
  <c r="L88" i="3"/>
  <c r="O90" i="3"/>
  <c r="O238" i="3"/>
  <c r="L227" i="3"/>
  <c r="O263" i="3"/>
  <c r="L261" i="3"/>
  <c r="O261" i="3" s="1"/>
  <c r="K76" i="3"/>
  <c r="I64" i="3"/>
  <c r="K64" i="3" s="1"/>
  <c r="O395" i="1"/>
  <c r="N345" i="2"/>
  <c r="O345" i="2" s="1"/>
  <c r="O279" i="3"/>
  <c r="P279" i="3"/>
  <c r="N544" i="3"/>
  <c r="O544" i="3" s="1"/>
  <c r="O546" i="3"/>
  <c r="P15" i="3"/>
  <c r="M14" i="3"/>
  <c r="P298" i="3"/>
  <c r="O33" i="3"/>
  <c r="L30" i="3"/>
  <c r="O30" i="3" s="1"/>
  <c r="N277" i="3"/>
  <c r="O277" i="3" s="1"/>
  <c r="O26" i="3"/>
  <c r="L16" i="3"/>
  <c r="L24" i="3"/>
  <c r="N20" i="3"/>
  <c r="N18" i="3" s="1"/>
  <c r="L9" i="3"/>
  <c r="O12" i="3"/>
  <c r="O29" i="3"/>
  <c r="M132" i="2"/>
  <c r="P132" i="2" s="1"/>
  <c r="M9" i="3"/>
  <c r="P12" i="3"/>
  <c r="N28" i="3"/>
  <c r="N9" i="3"/>
  <c r="O151" i="3"/>
  <c r="L149" i="3"/>
  <c r="O149" i="3" s="1"/>
  <c r="M132" i="3"/>
  <c r="O23" i="3"/>
  <c r="L20" i="3"/>
  <c r="L18" i="3" s="1"/>
  <c r="L13" i="3"/>
  <c r="L11" i="3" s="1"/>
  <c r="O121" i="3"/>
  <c r="L119" i="3"/>
  <c r="O119" i="3" s="1"/>
  <c r="K76" i="1"/>
  <c r="K236" i="1"/>
  <c r="O404" i="2"/>
  <c r="L149" i="2"/>
  <c r="O149" i="2" s="1"/>
  <c r="O264" i="2"/>
  <c r="O90" i="2"/>
  <c r="O446" i="3"/>
  <c r="N444" i="3"/>
  <c r="P467" i="3"/>
  <c r="M414" i="3"/>
  <c r="P414" i="3" s="1"/>
  <c r="P183" i="3"/>
  <c r="O183" i="3"/>
  <c r="N181" i="3"/>
  <c r="P26" i="3"/>
  <c r="P43" i="3"/>
  <c r="M41" i="3"/>
  <c r="P68" i="3"/>
  <c r="M66" i="3"/>
  <c r="P66" i="3" s="1"/>
  <c r="P26" i="1"/>
  <c r="O217" i="1"/>
  <c r="J522" i="2"/>
  <c r="K522" i="2" s="1"/>
  <c r="O181" i="2"/>
  <c r="P279" i="1"/>
  <c r="O198" i="1"/>
  <c r="O33" i="2"/>
  <c r="O261" i="1"/>
  <c r="M24" i="1"/>
  <c r="P24" i="1" s="1"/>
  <c r="P330" i="2"/>
  <c r="O331" i="2"/>
  <c r="L31" i="2"/>
  <c r="O31" i="2" s="1"/>
  <c r="O183" i="2"/>
  <c r="K164" i="1"/>
  <c r="L119" i="2"/>
  <c r="O119" i="2" s="1"/>
  <c r="L227" i="2"/>
  <c r="P328" i="2"/>
  <c r="L66" i="2"/>
  <c r="O66" i="2" s="1"/>
  <c r="O68" i="2"/>
  <c r="P404" i="2"/>
  <c r="M402" i="2"/>
  <c r="P402" i="2" s="1"/>
  <c r="O317" i="2"/>
  <c r="O549" i="1"/>
  <c r="P151" i="2"/>
  <c r="M149" i="2"/>
  <c r="P149" i="2" s="1"/>
  <c r="N21" i="1"/>
  <c r="P21" i="1" s="1"/>
  <c r="I418" i="2"/>
  <c r="K418" i="2" s="1"/>
  <c r="O328" i="2"/>
  <c r="P317" i="2"/>
  <c r="M165" i="2"/>
  <c r="P165" i="2" s="1"/>
  <c r="P167" i="2"/>
  <c r="P279" i="2"/>
  <c r="K174" i="1"/>
  <c r="N789" i="1"/>
  <c r="K434" i="1"/>
  <c r="P315" i="2"/>
  <c r="O315" i="2"/>
  <c r="N14" i="2"/>
  <c r="P121" i="2"/>
  <c r="M119" i="2"/>
  <c r="P119" i="2" s="1"/>
  <c r="M181" i="2"/>
  <c r="P181" i="2" s="1"/>
  <c r="P183" i="2"/>
  <c r="O279" i="2"/>
  <c r="O330" i="2"/>
  <c r="O631" i="2"/>
  <c r="L629" i="2"/>
  <c r="O629" i="2" s="1"/>
  <c r="O634" i="1"/>
  <c r="N658" i="1"/>
  <c r="O658" i="1" s="1"/>
  <c r="N632" i="1"/>
  <c r="O632" i="1" s="1"/>
  <c r="K418" i="1"/>
  <c r="O469" i="2"/>
  <c r="K143" i="2"/>
  <c r="I131" i="2"/>
  <c r="K131" i="2" s="1"/>
  <c r="N20" i="2"/>
  <c r="N18" i="2" s="1"/>
  <c r="N13" i="2"/>
  <c r="N21" i="2"/>
  <c r="P21" i="2" s="1"/>
  <c r="O12" i="2"/>
  <c r="L9" i="2"/>
  <c r="O29" i="2"/>
  <c r="K275" i="2"/>
  <c r="M28" i="2"/>
  <c r="P28" i="2" s="1"/>
  <c r="P19" i="2"/>
  <c r="K248" i="2"/>
  <c r="I226" i="2"/>
  <c r="O546" i="2"/>
  <c r="L544" i="2"/>
  <c r="O544" i="2" s="1"/>
  <c r="P348" i="2"/>
  <c r="O348" i="2"/>
  <c r="O36" i="1"/>
  <c r="L34" i="1"/>
  <c r="O34" i="1" s="1"/>
  <c r="L786" i="1"/>
  <c r="O786" i="1" s="1"/>
  <c r="N657" i="1"/>
  <c r="N655" i="1" s="1"/>
  <c r="O655" i="1" s="1"/>
  <c r="M53" i="1"/>
  <c r="P53" i="1" s="1"/>
  <c r="O446" i="2"/>
  <c r="L444" i="2"/>
  <c r="O444" i="2" s="1"/>
  <c r="L402" i="2"/>
  <c r="O402" i="2" s="1"/>
  <c r="O421" i="2"/>
  <c r="L419" i="2"/>
  <c r="I65" i="2"/>
  <c r="K65" i="2" s="1"/>
  <c r="K77" i="2"/>
  <c r="O26" i="2"/>
  <c r="L16" i="2"/>
  <c r="O16" i="2" s="1"/>
  <c r="P26" i="2"/>
  <c r="N9" i="2"/>
  <c r="N41" i="2"/>
  <c r="L523" i="2"/>
  <c r="O523" i="2" s="1"/>
  <c r="O525" i="2"/>
  <c r="O23" i="2"/>
  <c r="L20" i="2"/>
  <c r="L13" i="2"/>
  <c r="L21" i="2"/>
  <c r="P55" i="2"/>
  <c r="M53" i="2"/>
  <c r="P53" i="2" s="1"/>
  <c r="M9" i="2"/>
  <c r="P12" i="2"/>
  <c r="K417" i="2"/>
  <c r="K288" i="2"/>
  <c r="M88" i="2"/>
  <c r="P88" i="2" s="1"/>
  <c r="P90" i="2"/>
  <c r="N24" i="2"/>
  <c r="P24" i="2" s="1"/>
  <c r="L30" i="1"/>
  <c r="L28" i="1" s="1"/>
  <c r="K76" i="2"/>
  <c r="I64" i="2"/>
  <c r="K64" i="2" s="1"/>
  <c r="O88" i="1"/>
  <c r="P351" i="2"/>
  <c r="O351" i="2"/>
  <c r="L261" i="2"/>
  <c r="O261" i="2" s="1"/>
  <c r="O15" i="2"/>
  <c r="K433" i="2"/>
  <c r="P23" i="2"/>
  <c r="M20" i="2"/>
  <c r="M18" i="2" s="1"/>
  <c r="M13" i="2"/>
  <c r="M11" i="2" s="1"/>
  <c r="O395" i="2"/>
  <c r="O43" i="2"/>
  <c r="L41" i="2"/>
  <c r="P59" i="1"/>
  <c r="P328" i="1"/>
  <c r="P88" i="1"/>
  <c r="O690" i="1"/>
  <c r="O167" i="1"/>
  <c r="O687" i="1"/>
  <c r="P66" i="1"/>
  <c r="M345" i="1"/>
  <c r="P345" i="1" s="1"/>
  <c r="N688" i="1"/>
  <c r="O688" i="1" s="1"/>
  <c r="O263" i="1"/>
  <c r="K364" i="1"/>
  <c r="N546" i="1"/>
  <c r="N227" i="1"/>
  <c r="O183" i="1"/>
  <c r="L181" i="1"/>
  <c r="O181" i="1" s="1"/>
  <c r="O132" i="1"/>
  <c r="O315" i="1"/>
  <c r="O631" i="1"/>
  <c r="P263" i="1"/>
  <c r="P318" i="1"/>
  <c r="K77" i="1"/>
  <c r="I65" i="1"/>
  <c r="K65" i="1" s="1"/>
  <c r="K576" i="1"/>
  <c r="J559" i="1"/>
  <c r="N165" i="1"/>
  <c r="O165" i="1" s="1"/>
  <c r="P183" i="1"/>
  <c r="M181" i="1"/>
  <c r="P181" i="1" s="1"/>
  <c r="K522" i="1"/>
  <c r="P90" i="1"/>
  <c r="M119" i="1"/>
  <c r="P119" i="1" s="1"/>
  <c r="P121" i="1"/>
  <c r="O629" i="1"/>
  <c r="P167" i="1"/>
  <c r="M165" i="1"/>
  <c r="O317" i="1"/>
  <c r="N470" i="1"/>
  <c r="O470" i="1" s="1"/>
  <c r="N469" i="1"/>
  <c r="P43" i="1"/>
  <c r="O26" i="1"/>
  <c r="L16" i="1"/>
  <c r="O68" i="1"/>
  <c r="L66" i="1"/>
  <c r="O66" i="1" s="1"/>
  <c r="P317" i="1"/>
  <c r="M315" i="1"/>
  <c r="P315" i="1" s="1"/>
  <c r="O280" i="1"/>
  <c r="O90" i="1"/>
  <c r="L119" i="1"/>
  <c r="O119" i="1" s="1"/>
  <c r="O121" i="1"/>
  <c r="O23" i="1"/>
  <c r="L20" i="1"/>
  <c r="L13" i="1"/>
  <c r="L11" i="1" s="1"/>
  <c r="L21" i="1"/>
  <c r="L685" i="1"/>
  <c r="O685" i="1" s="1"/>
  <c r="K537" i="1"/>
  <c r="K143" i="1"/>
  <c r="L523" i="1"/>
  <c r="O279" i="1"/>
  <c r="N422" i="1"/>
  <c r="O422" i="1" s="1"/>
  <c r="N421" i="1"/>
  <c r="O424" i="1"/>
  <c r="N33" i="1"/>
  <c r="L389" i="1"/>
  <c r="O389" i="1" s="1"/>
  <c r="P300" i="1"/>
  <c r="N298" i="1"/>
  <c r="O298" i="1" s="1"/>
  <c r="O43" i="1"/>
  <c r="L41" i="1"/>
  <c r="O330" i="1"/>
  <c r="L328" i="1"/>
  <c r="O328" i="1" s="1"/>
  <c r="P261" i="1"/>
  <c r="O19" i="1"/>
  <c r="O238" i="1"/>
  <c r="L227" i="1"/>
  <c r="P149" i="1"/>
  <c r="P44" i="1"/>
  <c r="P23" i="1"/>
  <c r="M20" i="1"/>
  <c r="M13" i="1"/>
  <c r="M11" i="1" s="1"/>
  <c r="L345" i="1"/>
  <c r="O345" i="1" s="1"/>
  <c r="O69" i="1"/>
  <c r="P151" i="1"/>
  <c r="O151" i="1"/>
  <c r="P12" i="1"/>
  <c r="M9" i="1"/>
  <c r="M414" i="1"/>
  <c r="P414" i="1" s="1"/>
  <c r="P134" i="1"/>
  <c r="O12" i="1"/>
  <c r="L9" i="1"/>
  <c r="O301" i="1"/>
  <c r="P41" i="1"/>
  <c r="O149" i="1"/>
  <c r="L24" i="1"/>
  <c r="O24" i="1" s="1"/>
  <c r="K288" i="1"/>
  <c r="K237" i="1"/>
  <c r="I226" i="1"/>
  <c r="P19" i="1"/>
  <c r="M132" i="1"/>
  <c r="N277" i="1"/>
  <c r="O277" i="1" s="1"/>
  <c r="O134" i="1"/>
  <c r="O13" i="10" l="1"/>
  <c r="L10" i="10"/>
  <c r="L8" i="10" s="1"/>
  <c r="O11" i="10"/>
  <c r="O165" i="8"/>
  <c r="O21" i="8"/>
  <c r="O24" i="14"/>
  <c r="N11" i="13"/>
  <c r="P11" i="13" s="1"/>
  <c r="P24" i="14"/>
  <c r="L10" i="15"/>
  <c r="L8" i="15" s="1"/>
  <c r="N8" i="13"/>
  <c r="N37" i="15"/>
  <c r="O30" i="15"/>
  <c r="L28" i="15"/>
  <c r="O28" i="15" s="1"/>
  <c r="O13" i="15"/>
  <c r="P88" i="6"/>
  <c r="L14" i="13"/>
  <c r="O14" i="13" s="1"/>
  <c r="P315" i="15"/>
  <c r="O20" i="13"/>
  <c r="O21" i="12"/>
  <c r="O24" i="13"/>
  <c r="O21" i="15"/>
  <c r="L414" i="15"/>
  <c r="O414" i="15" s="1"/>
  <c r="P20" i="12"/>
  <c r="O21" i="13"/>
  <c r="M37" i="15"/>
  <c r="P24" i="12"/>
  <c r="L28" i="14"/>
  <c r="O28" i="14" s="1"/>
  <c r="O181" i="15"/>
  <c r="M14" i="14"/>
  <c r="P14" i="14" s="1"/>
  <c r="P24" i="13"/>
  <c r="O18" i="15"/>
  <c r="M14" i="15"/>
  <c r="P14" i="15" s="1"/>
  <c r="N10" i="15"/>
  <c r="N8" i="15" s="1"/>
  <c r="N11" i="15"/>
  <c r="O11" i="15" s="1"/>
  <c r="O9" i="15"/>
  <c r="P20" i="15"/>
  <c r="M18" i="15"/>
  <c r="P18" i="15" s="1"/>
  <c r="K226" i="15"/>
  <c r="I180" i="15"/>
  <c r="K180" i="15" s="1"/>
  <c r="L37" i="15"/>
  <c r="P181" i="15"/>
  <c r="P13" i="15"/>
  <c r="M10" i="15"/>
  <c r="M11" i="15"/>
  <c r="O20" i="15"/>
  <c r="O16" i="15"/>
  <c r="L14" i="15"/>
  <c r="O14" i="15" s="1"/>
  <c r="P24" i="15"/>
  <c r="O20" i="14"/>
  <c r="P21" i="15"/>
  <c r="N11" i="14"/>
  <c r="O11" i="14" s="1"/>
  <c r="L28" i="13"/>
  <c r="O28" i="13" s="1"/>
  <c r="L18" i="14"/>
  <c r="O18" i="14" s="1"/>
  <c r="P20" i="14"/>
  <c r="O9" i="14"/>
  <c r="P13" i="14"/>
  <c r="M10" i="14"/>
  <c r="P10" i="14" s="1"/>
  <c r="P41" i="14"/>
  <c r="M37" i="14"/>
  <c r="O16" i="14"/>
  <c r="L14" i="14"/>
  <c r="O14" i="14" s="1"/>
  <c r="O328" i="14"/>
  <c r="P328" i="14"/>
  <c r="L414" i="14"/>
  <c r="O414" i="14" s="1"/>
  <c r="O419" i="14"/>
  <c r="O13" i="14"/>
  <c r="L10" i="14"/>
  <c r="O10" i="14" s="1"/>
  <c r="P9" i="14"/>
  <c r="O165" i="14"/>
  <c r="N37" i="14"/>
  <c r="P165" i="14"/>
  <c r="M18" i="14"/>
  <c r="P18" i="14" s="1"/>
  <c r="M14" i="12"/>
  <c r="P14" i="12" s="1"/>
  <c r="K226" i="14"/>
  <c r="I180" i="14"/>
  <c r="K180" i="14" s="1"/>
  <c r="N8" i="14"/>
  <c r="P345" i="14"/>
  <c r="O345" i="14"/>
  <c r="O53" i="14"/>
  <c r="L37" i="14"/>
  <c r="N10" i="10"/>
  <c r="N8" i="10" s="1"/>
  <c r="O24" i="12"/>
  <c r="O181" i="13"/>
  <c r="L28" i="10"/>
  <c r="O28" i="10" s="1"/>
  <c r="O18" i="11"/>
  <c r="P13" i="13"/>
  <c r="M10" i="13"/>
  <c r="P10" i="13" s="1"/>
  <c r="O9" i="13"/>
  <c r="N37" i="12"/>
  <c r="O13" i="13"/>
  <c r="L10" i="13"/>
  <c r="O10" i="13" s="1"/>
  <c r="P9" i="13"/>
  <c r="P20" i="13"/>
  <c r="M18" i="13"/>
  <c r="P18" i="13" s="1"/>
  <c r="L11" i="13"/>
  <c r="L37" i="13"/>
  <c r="L414" i="13"/>
  <c r="O414" i="13" s="1"/>
  <c r="O419" i="13"/>
  <c r="O328" i="12"/>
  <c r="L18" i="13"/>
  <c r="O18" i="13" s="1"/>
  <c r="P16" i="13"/>
  <c r="M14" i="13"/>
  <c r="P14" i="13" s="1"/>
  <c r="I180" i="13"/>
  <c r="K180" i="13" s="1"/>
  <c r="K226" i="13"/>
  <c r="P41" i="13"/>
  <c r="M37" i="13"/>
  <c r="N37" i="13"/>
  <c r="O21" i="10"/>
  <c r="O21" i="11"/>
  <c r="L37" i="12"/>
  <c r="P21" i="10"/>
  <c r="L14" i="5"/>
  <c r="O14" i="5" s="1"/>
  <c r="L28" i="12"/>
  <c r="O28" i="12" s="1"/>
  <c r="M18" i="12"/>
  <c r="P18" i="12" s="1"/>
  <c r="K226" i="12"/>
  <c r="I180" i="12"/>
  <c r="K180" i="12" s="1"/>
  <c r="O20" i="12"/>
  <c r="L18" i="12"/>
  <c r="O18" i="12" s="1"/>
  <c r="P13" i="12"/>
  <c r="M10" i="12"/>
  <c r="P10" i="12" s="1"/>
  <c r="O88" i="11"/>
  <c r="P9" i="12"/>
  <c r="L414" i="12"/>
  <c r="O414" i="12" s="1"/>
  <c r="M11" i="12"/>
  <c r="P11" i="12" s="1"/>
  <c r="M37" i="12"/>
  <c r="L14" i="12"/>
  <c r="O14" i="12" s="1"/>
  <c r="O13" i="12"/>
  <c r="L10" i="12"/>
  <c r="L11" i="12"/>
  <c r="O11" i="12" s="1"/>
  <c r="O13" i="8"/>
  <c r="N37" i="11"/>
  <c r="N10" i="11"/>
  <c r="N8" i="11" s="1"/>
  <c r="L28" i="9"/>
  <c r="O28" i="9" s="1"/>
  <c r="L414" i="11"/>
  <c r="O414" i="11" s="1"/>
  <c r="L37" i="11"/>
  <c r="P20" i="10"/>
  <c r="P181" i="10"/>
  <c r="O181" i="11"/>
  <c r="P20" i="11"/>
  <c r="O13" i="11"/>
  <c r="L10" i="11"/>
  <c r="L11" i="11"/>
  <c r="K226" i="11"/>
  <c r="I180" i="11"/>
  <c r="K180" i="11" s="1"/>
  <c r="P18" i="11"/>
  <c r="M37" i="11"/>
  <c r="O165" i="11"/>
  <c r="P165" i="11"/>
  <c r="O20" i="11"/>
  <c r="N14" i="11"/>
  <c r="O14" i="11" s="1"/>
  <c r="O16" i="11"/>
  <c r="P24" i="11"/>
  <c r="P21" i="11"/>
  <c r="N11" i="11"/>
  <c r="P16" i="11"/>
  <c r="M14" i="11"/>
  <c r="P13" i="11"/>
  <c r="M10" i="11"/>
  <c r="M11" i="11"/>
  <c r="O30" i="11"/>
  <c r="L28" i="11"/>
  <c r="O28" i="11" s="1"/>
  <c r="O14" i="9"/>
  <c r="P10" i="6"/>
  <c r="P345" i="10"/>
  <c r="O41" i="6"/>
  <c r="P11" i="10"/>
  <c r="K226" i="10"/>
  <c r="I180" i="10"/>
  <c r="K180" i="10" s="1"/>
  <c r="O41" i="10"/>
  <c r="L37" i="10"/>
  <c r="L28" i="8"/>
  <c r="O28" i="8" s="1"/>
  <c r="L37" i="9"/>
  <c r="O18" i="9"/>
  <c r="L414" i="10"/>
  <c r="O414" i="10" s="1"/>
  <c r="O419" i="10"/>
  <c r="O88" i="10"/>
  <c r="P16" i="10"/>
  <c r="M14" i="10"/>
  <c r="P14" i="10" s="1"/>
  <c r="M18" i="10"/>
  <c r="P18" i="10" s="1"/>
  <c r="O20" i="10"/>
  <c r="L18" i="10"/>
  <c r="O18" i="10" s="1"/>
  <c r="P165" i="5"/>
  <c r="P9" i="10"/>
  <c r="P53" i="10"/>
  <c r="M37" i="10"/>
  <c r="O53" i="9"/>
  <c r="P53" i="9"/>
  <c r="P13" i="10"/>
  <c r="M10" i="10"/>
  <c r="O16" i="10"/>
  <c r="L14" i="10"/>
  <c r="O14" i="10" s="1"/>
  <c r="N37" i="10"/>
  <c r="P24" i="3"/>
  <c r="P24" i="8"/>
  <c r="O298" i="9"/>
  <c r="K593" i="1"/>
  <c r="P165" i="6"/>
  <c r="L10" i="7"/>
  <c r="L8" i="7" s="1"/>
  <c r="O24" i="8"/>
  <c r="P24" i="9"/>
  <c r="P14" i="8"/>
  <c r="O20" i="9"/>
  <c r="P9" i="9"/>
  <c r="P345" i="9"/>
  <c r="O419" i="9"/>
  <c r="L414" i="9"/>
  <c r="O414" i="9" s="1"/>
  <c r="P21" i="9"/>
  <c r="O181" i="9"/>
  <c r="N10" i="9"/>
  <c r="N8" i="9" s="1"/>
  <c r="O13" i="9"/>
  <c r="N37" i="9"/>
  <c r="P41" i="9"/>
  <c r="O41" i="9"/>
  <c r="M11" i="9"/>
  <c r="P11" i="9" s="1"/>
  <c r="P13" i="9"/>
  <c r="M10" i="9"/>
  <c r="M8" i="9" s="1"/>
  <c r="O18" i="7"/>
  <c r="O16" i="9"/>
  <c r="L10" i="9"/>
  <c r="L8" i="9" s="1"/>
  <c r="P20" i="9"/>
  <c r="M18" i="9"/>
  <c r="P18" i="9" s="1"/>
  <c r="P66" i="9"/>
  <c r="O66" i="9"/>
  <c r="O9" i="9"/>
  <c r="K226" i="9"/>
  <c r="I180" i="9"/>
  <c r="K180" i="9" s="1"/>
  <c r="O328" i="9"/>
  <c r="P328" i="9"/>
  <c r="P16" i="9"/>
  <c r="P14" i="9"/>
  <c r="O11" i="9"/>
  <c r="M37" i="9"/>
  <c r="O16" i="7"/>
  <c r="L10" i="8"/>
  <c r="L8" i="8" s="1"/>
  <c r="P14" i="7"/>
  <c r="O24" i="7"/>
  <c r="P21" i="8"/>
  <c r="O345" i="4"/>
  <c r="N37" i="8"/>
  <c r="P88" i="8"/>
  <c r="P13" i="8"/>
  <c r="M10" i="8"/>
  <c r="M8" i="8" s="1"/>
  <c r="M11" i="8"/>
  <c r="P345" i="2"/>
  <c r="P24" i="7"/>
  <c r="L14" i="7"/>
  <c r="O14" i="7" s="1"/>
  <c r="O345" i="8"/>
  <c r="P345" i="8"/>
  <c r="P20" i="8"/>
  <c r="P9" i="8"/>
  <c r="L14" i="8"/>
  <c r="O14" i="8" s="1"/>
  <c r="O9" i="8"/>
  <c r="O345" i="5"/>
  <c r="L414" i="8"/>
  <c r="O414" i="8" s="1"/>
  <c r="O419" i="8"/>
  <c r="L18" i="8"/>
  <c r="O18" i="8" s="1"/>
  <c r="O20" i="8"/>
  <c r="M37" i="8"/>
  <c r="M18" i="8"/>
  <c r="P18" i="8" s="1"/>
  <c r="P16" i="7"/>
  <c r="K226" i="8"/>
  <c r="I180" i="8"/>
  <c r="K180" i="8" s="1"/>
  <c r="L37" i="8"/>
  <c r="N10" i="8"/>
  <c r="N8" i="8" s="1"/>
  <c r="N11" i="8"/>
  <c r="O11" i="8" s="1"/>
  <c r="P13" i="6"/>
  <c r="O88" i="5"/>
  <c r="P18" i="6"/>
  <c r="P24" i="4"/>
  <c r="N11" i="6"/>
  <c r="P11" i="6" s="1"/>
  <c r="N37" i="6"/>
  <c r="L37" i="6"/>
  <c r="L28" i="7"/>
  <c r="O28" i="7" s="1"/>
  <c r="P16" i="1"/>
  <c r="P181" i="6"/>
  <c r="L28" i="4"/>
  <c r="O28" i="4" s="1"/>
  <c r="P261" i="5"/>
  <c r="O30" i="2"/>
  <c r="K226" i="7"/>
  <c r="I180" i="7"/>
  <c r="K180" i="7" s="1"/>
  <c r="P13" i="7"/>
  <c r="M11" i="7"/>
  <c r="M10" i="7"/>
  <c r="O20" i="7"/>
  <c r="P21" i="7"/>
  <c r="L37" i="7"/>
  <c r="O37" i="7" s="1"/>
  <c r="O41" i="7"/>
  <c r="P20" i="7"/>
  <c r="M18" i="7"/>
  <c r="P18" i="7" s="1"/>
  <c r="N10" i="7"/>
  <c r="N8" i="7" s="1"/>
  <c r="N11" i="7"/>
  <c r="O11" i="7" s="1"/>
  <c r="P53" i="7"/>
  <c r="M37" i="7"/>
  <c r="P37" i="7" s="1"/>
  <c r="P20" i="6"/>
  <c r="O13" i="7"/>
  <c r="L414" i="7"/>
  <c r="O414" i="7" s="1"/>
  <c r="L28" i="5"/>
  <c r="O28" i="5" s="1"/>
  <c r="L14" i="6"/>
  <c r="O14" i="6" s="1"/>
  <c r="O525" i="1"/>
  <c r="O20" i="1"/>
  <c r="P24" i="6"/>
  <c r="P20" i="1"/>
  <c r="O20" i="5"/>
  <c r="M14" i="5"/>
  <c r="P14" i="5" s="1"/>
  <c r="L28" i="6"/>
  <c r="O28" i="6" s="1"/>
  <c r="L414" i="6"/>
  <c r="O414" i="6" s="1"/>
  <c r="O419" i="6"/>
  <c r="P16" i="6"/>
  <c r="M14" i="6"/>
  <c r="P14" i="6" s="1"/>
  <c r="M37" i="6"/>
  <c r="O13" i="6"/>
  <c r="L10" i="6"/>
  <c r="L11" i="6"/>
  <c r="N414" i="6"/>
  <c r="K226" i="6"/>
  <c r="I180" i="6"/>
  <c r="K180" i="6" s="1"/>
  <c r="O20" i="6"/>
  <c r="L18" i="6"/>
  <c r="O18" i="6" s="1"/>
  <c r="P9" i="6"/>
  <c r="M8" i="6"/>
  <c r="P8" i="6" s="1"/>
  <c r="O24" i="5"/>
  <c r="P21" i="5"/>
  <c r="O88" i="4"/>
  <c r="O88" i="3"/>
  <c r="N10" i="3"/>
  <c r="N8" i="3" s="1"/>
  <c r="L18" i="5"/>
  <c r="O18" i="5" s="1"/>
  <c r="N37" i="5"/>
  <c r="N8" i="5"/>
  <c r="K226" i="5"/>
  <c r="I180" i="5"/>
  <c r="K180" i="5" s="1"/>
  <c r="O544" i="5"/>
  <c r="N414" i="5"/>
  <c r="M37" i="5"/>
  <c r="P41" i="5"/>
  <c r="O9" i="5"/>
  <c r="M14" i="4"/>
  <c r="P14" i="4" s="1"/>
  <c r="P9" i="5"/>
  <c r="M10" i="5"/>
  <c r="P10" i="5" s="1"/>
  <c r="P13" i="5"/>
  <c r="M11" i="5"/>
  <c r="L37" i="5"/>
  <c r="P20" i="5"/>
  <c r="M18" i="5"/>
  <c r="P18" i="5" s="1"/>
  <c r="O181" i="5"/>
  <c r="O13" i="5"/>
  <c r="L10" i="5"/>
  <c r="O10" i="5" s="1"/>
  <c r="O419" i="5"/>
  <c r="L414" i="5"/>
  <c r="O414" i="5" s="1"/>
  <c r="N11" i="5"/>
  <c r="O11" i="5" s="1"/>
  <c r="O24" i="3"/>
  <c r="P328" i="4"/>
  <c r="P14" i="2"/>
  <c r="P16" i="2"/>
  <c r="O16" i="4"/>
  <c r="L14" i="4"/>
  <c r="O14" i="4" s="1"/>
  <c r="L37" i="4"/>
  <c r="O11" i="3"/>
  <c r="K226" i="4"/>
  <c r="I180" i="4"/>
  <c r="K180" i="4" s="1"/>
  <c r="M37" i="4"/>
  <c r="N10" i="4"/>
  <c r="N8" i="4" s="1"/>
  <c r="N11" i="4"/>
  <c r="P11" i="4" s="1"/>
  <c r="M414" i="4"/>
  <c r="P414" i="4" s="1"/>
  <c r="L414" i="4"/>
  <c r="O414" i="4" s="1"/>
  <c r="O419" i="4"/>
  <c r="O446" i="1"/>
  <c r="I180" i="3"/>
  <c r="K180" i="3" s="1"/>
  <c r="N37" i="4"/>
  <c r="P41" i="4"/>
  <c r="O41" i="4"/>
  <c r="O18" i="4"/>
  <c r="O20" i="4"/>
  <c r="P20" i="4"/>
  <c r="M18" i="4"/>
  <c r="P18" i="4" s="1"/>
  <c r="P9" i="4"/>
  <c r="P13" i="4"/>
  <c r="M10" i="4"/>
  <c r="O13" i="4"/>
  <c r="L10" i="4"/>
  <c r="L11" i="4"/>
  <c r="P21" i="4"/>
  <c r="P132" i="3"/>
  <c r="N37" i="3"/>
  <c r="L14" i="2"/>
  <c r="O14" i="2" s="1"/>
  <c r="P277" i="3"/>
  <c r="P9" i="3"/>
  <c r="N37" i="2"/>
  <c r="L414" i="3"/>
  <c r="O414" i="3" s="1"/>
  <c r="P11" i="3"/>
  <c r="P13" i="3"/>
  <c r="M10" i="3"/>
  <c r="O9" i="3"/>
  <c r="O18" i="3"/>
  <c r="P20" i="3"/>
  <c r="M18" i="3"/>
  <c r="P18" i="3" s="1"/>
  <c r="O181" i="3"/>
  <c r="P181" i="3"/>
  <c r="O13" i="3"/>
  <c r="L10" i="3"/>
  <c r="O444" i="3"/>
  <c r="N414" i="3"/>
  <c r="O20" i="3"/>
  <c r="O53" i="3"/>
  <c r="L37" i="3"/>
  <c r="P41" i="3"/>
  <c r="M37" i="3"/>
  <c r="L28" i="3"/>
  <c r="O28" i="3" s="1"/>
  <c r="O16" i="3"/>
  <c r="L14" i="3"/>
  <c r="P16" i="3"/>
  <c r="N14" i="3"/>
  <c r="P14" i="3" s="1"/>
  <c r="O21" i="1"/>
  <c r="P165" i="1"/>
  <c r="O657" i="1"/>
  <c r="P41" i="2"/>
  <c r="O24" i="2"/>
  <c r="O41" i="2"/>
  <c r="L37" i="2"/>
  <c r="K226" i="2"/>
  <c r="I180" i="2"/>
  <c r="K180" i="2" s="1"/>
  <c r="L18" i="1"/>
  <c r="O18" i="1" s="1"/>
  <c r="O21" i="2"/>
  <c r="N10" i="2"/>
  <c r="N8" i="2" s="1"/>
  <c r="N11" i="2"/>
  <c r="P11" i="2" s="1"/>
  <c r="L414" i="2"/>
  <c r="O414" i="2" s="1"/>
  <c r="O419" i="2"/>
  <c r="P9" i="2"/>
  <c r="O13" i="2"/>
  <c r="L10" i="2"/>
  <c r="P13" i="2"/>
  <c r="M10" i="2"/>
  <c r="O20" i="2"/>
  <c r="L18" i="2"/>
  <c r="O18" i="2" s="1"/>
  <c r="P18" i="2"/>
  <c r="L11" i="2"/>
  <c r="P20" i="2"/>
  <c r="O9" i="2"/>
  <c r="M37" i="2"/>
  <c r="N544" i="1"/>
  <c r="O544" i="1" s="1"/>
  <c r="O546" i="1"/>
  <c r="N467" i="1"/>
  <c r="O467" i="1" s="1"/>
  <c r="O469" i="1"/>
  <c r="P277" i="1"/>
  <c r="J543" i="1"/>
  <c r="K543" i="1" s="1"/>
  <c r="K559" i="1"/>
  <c r="P132" i="1"/>
  <c r="M37" i="1"/>
  <c r="N31" i="1"/>
  <c r="O31" i="1" s="1"/>
  <c r="N30" i="1"/>
  <c r="O33" i="1"/>
  <c r="N13" i="1"/>
  <c r="O13" i="1" s="1"/>
  <c r="M18" i="1"/>
  <c r="P18" i="1" s="1"/>
  <c r="O41" i="1"/>
  <c r="L37" i="1"/>
  <c r="K226" i="1"/>
  <c r="I180" i="1"/>
  <c r="K180" i="1" s="1"/>
  <c r="P298" i="1"/>
  <c r="N419" i="1"/>
  <c r="O421" i="1"/>
  <c r="O523" i="1"/>
  <c r="L414" i="1"/>
  <c r="L10" i="1"/>
  <c r="L8" i="1" s="1"/>
  <c r="M10" i="1"/>
  <c r="M8" i="1" s="1"/>
  <c r="P9" i="1"/>
  <c r="O16" i="1"/>
  <c r="L14" i="1"/>
  <c r="O14" i="1" s="1"/>
  <c r="O9" i="1"/>
  <c r="N37" i="1"/>
  <c r="P14" i="11" l="1"/>
  <c r="O11" i="13"/>
  <c r="O37" i="15"/>
  <c r="P37" i="15"/>
  <c r="P11" i="15"/>
  <c r="O10" i="15"/>
  <c r="P10" i="15"/>
  <c r="M8" i="15"/>
  <c r="P8" i="15" s="1"/>
  <c r="O8" i="15"/>
  <c r="P11" i="14"/>
  <c r="P10" i="10"/>
  <c r="O37" i="14"/>
  <c r="P37" i="14"/>
  <c r="P37" i="5"/>
  <c r="O10" i="10"/>
  <c r="M8" i="14"/>
  <c r="P8" i="14" s="1"/>
  <c r="L8" i="14"/>
  <c r="O8" i="14" s="1"/>
  <c r="O37" i="12"/>
  <c r="O37" i="11"/>
  <c r="L8" i="13"/>
  <c r="O8" i="13" s="1"/>
  <c r="M8" i="12"/>
  <c r="P8" i="12" s="1"/>
  <c r="M8" i="13"/>
  <c r="P8" i="13" s="1"/>
  <c r="P37" i="13"/>
  <c r="O37" i="13"/>
  <c r="P37" i="12"/>
  <c r="O10" i="12"/>
  <c r="L8" i="12"/>
  <c r="O8" i="12" s="1"/>
  <c r="O8" i="10"/>
  <c r="P37" i="11"/>
  <c r="O11" i="11"/>
  <c r="P11" i="11"/>
  <c r="P10" i="11"/>
  <c r="M8" i="11"/>
  <c r="P8" i="11" s="1"/>
  <c r="O10" i="11"/>
  <c r="L8" i="11"/>
  <c r="O8" i="11" s="1"/>
  <c r="O37" i="10"/>
  <c r="P37" i="10"/>
  <c r="O37" i="9"/>
  <c r="M8" i="10"/>
  <c r="P8" i="10" s="1"/>
  <c r="P37" i="8"/>
  <c r="O37" i="8"/>
  <c r="O8" i="7"/>
  <c r="P37" i="9"/>
  <c r="P37" i="6"/>
  <c r="O37" i="6"/>
  <c r="P10" i="9"/>
  <c r="P8" i="9"/>
  <c r="O8" i="9"/>
  <c r="O10" i="9"/>
  <c r="O11" i="6"/>
  <c r="P8" i="8"/>
  <c r="O10" i="8"/>
  <c r="O8" i="8"/>
  <c r="P13" i="1"/>
  <c r="P11" i="8"/>
  <c r="P10" i="8"/>
  <c r="P11" i="7"/>
  <c r="O10" i="7"/>
  <c r="P10" i="7"/>
  <c r="M8" i="7"/>
  <c r="P8" i="7" s="1"/>
  <c r="L8" i="5"/>
  <c r="O8" i="5" s="1"/>
  <c r="O10" i="6"/>
  <c r="L8" i="6"/>
  <c r="O8" i="6" s="1"/>
  <c r="P10" i="3"/>
  <c r="P37" i="3"/>
  <c r="O37" i="5"/>
  <c r="O10" i="3"/>
  <c r="M8" i="5"/>
  <c r="P8" i="5" s="1"/>
  <c r="P11" i="5"/>
  <c r="P10" i="4"/>
  <c r="P37" i="4"/>
  <c r="O11" i="4"/>
  <c r="M8" i="4"/>
  <c r="P8" i="4" s="1"/>
  <c r="O10" i="4"/>
  <c r="L8" i="4"/>
  <c r="O8" i="4" s="1"/>
  <c r="O37" i="4"/>
  <c r="O37" i="3"/>
  <c r="L8" i="3"/>
  <c r="O8" i="3" s="1"/>
  <c r="O37" i="2"/>
  <c r="O10" i="2"/>
  <c r="M8" i="3"/>
  <c r="P8" i="3" s="1"/>
  <c r="P37" i="2"/>
  <c r="O14" i="3"/>
  <c r="O11" i="2"/>
  <c r="L8" i="2"/>
  <c r="O8" i="2" s="1"/>
  <c r="P10" i="2"/>
  <c r="M8" i="2"/>
  <c r="P8" i="2" s="1"/>
  <c r="N28" i="1"/>
  <c r="O28" i="1" s="1"/>
  <c r="O30" i="1"/>
  <c r="P37" i="1"/>
  <c r="O37" i="1"/>
  <c r="N414" i="1"/>
  <c r="O414" i="1" s="1"/>
  <c r="O419" i="1"/>
  <c r="N11" i="1"/>
  <c r="N10" i="1"/>
  <c r="N8" i="1" s="1"/>
  <c r="P8" i="1" s="1"/>
  <c r="O8" i="1" l="1"/>
  <c r="O10" i="1"/>
  <c r="P10" i="1"/>
  <c r="P11" i="1"/>
  <c r="O11" i="1"/>
</calcChain>
</file>

<file path=xl/sharedStrings.xml><?xml version="1.0" encoding="utf-8"?>
<sst xmlns="http://schemas.openxmlformats.org/spreadsheetml/2006/main" count="23310" uniqueCount="354">
  <si>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</si>
  <si>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</si>
  <si>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</si>
  <si>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</si>
  <si>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</si>
  <si>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</si>
  <si>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</si>
  <si>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</si>
  <si>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</si>
  <si>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</si>
  <si>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</si>
  <si>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</si>
  <si>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</si>
  <si>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</si>
  <si>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</si>
  <si>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</si>
  <si>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</si>
  <si>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</si>
  <si>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</si>
  <si>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</si>
  <si>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</si>
  <si>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</si>
  <si>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</si>
  <si>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</si>
  <si>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</si>
  <si>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</si>
  <si>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</si>
  <si>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</si>
  <si>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</si>
  <si>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</si>
  <si>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</si>
  <si>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</si>
  <si>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</si>
  <si>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</si>
  <si>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</si>
  <si>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</si>
  <si>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</si>
  <si>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</si>
  <si>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</si>
  <si>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</si>
  <si>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</si>
  <si>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</si>
  <si>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</si>
  <si>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</si>
  <si>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</si>
  <si>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</si>
  <si>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</si>
  <si>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</si>
  <si>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</si>
  <si>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</si>
  <si>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</si>
  <si>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</si>
  <si>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</si>
  <si>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</si>
  <si>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</si>
  <si>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</si>
  <si>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</si>
  <si>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</si>
  <si>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</si>
  <si>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</si>
  <si>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</si>
  <si>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</si>
  <si>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</si>
  <si>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</si>
  <si>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</si>
  <si>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</si>
  <si>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</si>
  <si>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</si>
  <si>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</si>
  <si>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</si>
  <si>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</si>
  <si>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</si>
  <si>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</si>
  <si>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</si>
  <si>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</si>
  <si>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</si>
  <si>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</si>
  <si>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</si>
  <si>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</si>
  <si>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</si>
  <si>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</si>
  <si>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</si>
  <si>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</si>
  <si>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</si>
  <si>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</si>
  <si>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</si>
  <si>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</si>
  <si>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</si>
  <si>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</si>
  <si>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</si>
  <si>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</si>
  <si>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</si>
  <si>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</si>
  <si>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</si>
  <si>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</si>
  <si>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</si>
  <si>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</si>
  <si>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</si>
  <si>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</si>
  <si>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</si>
  <si>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</si>
  <si>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</si>
  <si>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</si>
  <si>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</si>
  <si>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</si>
  <si>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</si>
  <si>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</si>
  <si>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</si>
  <si>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</si>
  <si>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</si>
  <si>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</si>
  <si>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</si>
  <si>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</si>
  <si>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</si>
  <si>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</si>
  <si>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</si>
  <si>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</si>
  <si>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</si>
  <si>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</si>
  <si>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</si>
  <si>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</si>
  <si>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</si>
  <si>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</si>
  <si>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</si>
  <si>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</si>
  <si>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</si>
  <si>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</si>
  <si>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</si>
  <si>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</si>
  <si>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</si>
  <si>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</si>
  <si>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</si>
  <si>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</si>
  <si>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</si>
  <si>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</si>
  <si>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</si>
  <si>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</si>
  <si>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</si>
  <si>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</si>
  <si>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</si>
  <si>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</si>
  <si>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</si>
  <si>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</si>
  <si>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</si>
  <si>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</si>
  <si>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</si>
  <si>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</si>
  <si>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</si>
  <si>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</si>
  <si>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</si>
  <si>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</si>
  <si>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</si>
  <si>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</si>
  <si>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</si>
  <si>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</si>
  <si>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</si>
  <si>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</si>
  <si>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</si>
  <si>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</si>
  <si>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</si>
  <si>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</si>
  <si>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</si>
  <si>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</si>
  <si>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</si>
  <si>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</si>
  <si>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</si>
  <si>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</si>
  <si>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</si>
  <si>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</si>
  <si>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</si>
  <si>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</si>
  <si>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</si>
  <si>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</si>
  <si>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</si>
  <si>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</si>
  <si>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</si>
  <si>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</si>
  <si>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</si>
  <si>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</si>
  <si>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</si>
  <si>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</si>
  <si>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</si>
  <si>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</si>
  <si>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</si>
  <si>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</si>
  <si>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</si>
  <si>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</si>
  <si>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</si>
  <si>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</si>
  <si>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</si>
  <si>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</si>
  <si>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</si>
  <si>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</si>
  <si>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</si>
  <si>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</si>
  <si>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</si>
  <si>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</si>
  <si>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</si>
  <si>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</si>
  <si>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</si>
  <si>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</si>
  <si>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</si>
  <si>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</si>
  <si>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</si>
  <si>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</si>
  <si>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</si>
  <si>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</si>
  <si>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</si>
  <si>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</si>
  <si>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</si>
  <si>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</si>
  <si>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</si>
  <si>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</si>
  <si>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</si>
  <si>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</si>
  <si>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</si>
  <si>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</si>
  <si>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</si>
  <si>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</si>
  <si>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</si>
  <si>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</si>
  <si>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</si>
  <si>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</si>
  <si>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</si>
  <si>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</si>
  <si>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</si>
  <si>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</si>
  <si>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</si>
  <si>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</si>
  <si>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</si>
  <si>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</si>
  <si>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</si>
  <si>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</si>
  <si>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</si>
  <si>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</si>
  <si>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</si>
  <si>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</si>
  <si>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</si>
  <si>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</si>
  <si>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</si>
  <si>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</si>
  <si>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</si>
  <si>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</si>
  <si>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</si>
  <si>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</si>
  <si>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</si>
  <si>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</si>
  <si>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</si>
  <si>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</si>
  <si>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</si>
  <si>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</si>
  <si>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</si>
  <si>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</si>
  <si>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</si>
  <si>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</si>
  <si>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</si>
  <si>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</si>
  <si>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</si>
  <si>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</si>
  <si>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</si>
  <si>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</si>
  <si>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</si>
  <si>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</si>
  <si>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</si>
  <si>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</si>
  <si>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</si>
  <si>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</si>
  <si>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</si>
  <si>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</si>
  <si>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</si>
  <si>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</si>
  <si>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</si>
  <si>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</si>
  <si>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</si>
  <si>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</si>
  <si>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</si>
  <si>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</si>
  <si>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</si>
  <si>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</si>
  <si>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</si>
  <si>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</si>
  <si>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</si>
  <si>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</si>
  <si>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</si>
  <si>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</si>
  <si>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</si>
  <si>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</si>
  <si>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</si>
  <si>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</si>
  <si>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</si>
  <si>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</si>
  <si>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</si>
  <si>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</si>
  <si>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</si>
  <si>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</si>
  <si>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</si>
  <si>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</si>
  <si>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</si>
  <si>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</si>
  <si>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</si>
  <si>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</si>
  <si>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</si>
  <si>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</si>
  <si>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</si>
  <si>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</si>
  <si>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</si>
  <si>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</si>
  <si>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</si>
  <si>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</si>
  <si>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</si>
  <si>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</si>
  <si>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</si>
  <si>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</si>
  <si>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</si>
  <si>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</si>
  <si>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</si>
  <si>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</si>
  <si>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</si>
  <si>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</si>
  <si>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</si>
  <si>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</si>
  <si>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</si>
  <si>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</si>
  <si>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</si>
  <si>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</si>
  <si>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</si>
  <si>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</si>
  <si>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</si>
  <si>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</si>
  <si>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</si>
  <si>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</si>
  <si>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</si>
  <si>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</si>
  <si>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</si>
  <si>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</si>
  <si>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</si>
  <si>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</si>
  <si>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</si>
  <si>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</si>
  <si>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t>สำนักงานการปฏิรูปที่ดินจังหวัด นราธิวาส</t>
  </si>
  <si>
    <t>ข้อมูล ณ วันที่ 29 ธันวาคม 2565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</si>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</sst>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75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8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189" fontId="4" fillId="9" borderId="11" xfId="0" applyNumberFormat="1" applyFont="1" applyFill="1" applyBorder="1" applyAlignment="1"/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9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2" fillId="2" borderId="13" xfId="0" applyFont="1" applyFill="1" applyBorder="1" applyAlignment="1"/>
    <xf numFmtId="0" fontId="3" fillId="0" borderId="13" xfId="0" applyFont="1" applyBorder="1"/>
    <xf numFmtId="0" fontId="54" fillId="2" borderId="10" xfId="0" applyFont="1" applyFill="1" applyBorder="1" applyAlignment="1"/>
    <xf numFmtId="0" fontId="59" fillId="2" borderId="10" xfId="0" applyFont="1" applyFill="1" applyBorder="1" applyAlignment="1"/>
    <xf numFmtId="0" fontId="64" fillId="2" borderId="13" xfId="0" applyFont="1" applyFill="1" applyBorder="1" applyAlignment="1"/>
    <xf numFmtId="0" fontId="71" fillId="2" borderId="10" xfId="0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" borderId="13" xfId="0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0" fontId="60" fillId="2" borderId="10" xfId="0" applyFont="1" applyFill="1" applyBorder="1" applyAlignment="1"/>
    <xf numFmtId="187" fontId="59" fillId="21" borderId="10" xfId="0" applyNumberFormat="1" applyFont="1" applyFill="1" applyBorder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188" fontId="1" fillId="10" borderId="27" xfId="0" applyNumberFormat="1" applyFont="1" applyFill="1" applyBorder="1" applyAlignment="1">
      <alignment horizontal="right"/>
    </xf>
    <xf numFmtId="188" fontId="1" fillId="10" borderId="19" xfId="0" applyNumberFormat="1" applyFont="1" applyFill="1" applyBorder="1" applyAlignment="1">
      <alignment horizontal="right"/>
    </xf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2" width="24.7109375" bestFit="1" customWidth="1"/>
    <col min="13" max="14" width="23" bestFit="1" customWidth="1"/>
    <col min="15" max="16" width="17.5703125" customWidth="1"/>
  </cols>
  <sheetData>
    <row r="1" spans="1:26" ht="20.25" customHeight="1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20.25" customHeight="1">
      <c r="A2" s="821" t="s">
        <v>1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20.25" customHeight="1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20.25" customHeight="1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122690848</v>
      </c>
      <c r="M8" s="22">
        <f t="shared" ca="1" si="0"/>
        <v>90021886</v>
      </c>
      <c r="N8" s="22">
        <f t="shared" ca="1" si="0"/>
        <v>18213410.260000002</v>
      </c>
      <c r="O8" s="22">
        <f t="shared" ref="O8:O16" ca="1" si="1">IF(L8&gt;0,N8*100/L8,0)</f>
        <v>14.844962405019812</v>
      </c>
      <c r="P8" s="22">
        <f t="shared" ref="P8:P16" ca="1" si="2">IF(M8&gt;0,N8*100/M8,0)</f>
        <v>20.232202489070271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122690848</v>
      </c>
      <c r="M10" s="30">
        <f t="shared" ca="1" si="4"/>
        <v>90021886</v>
      </c>
      <c r="N10" s="30">
        <f t="shared" ca="1" si="4"/>
        <v>18213410.260000002</v>
      </c>
      <c r="O10" s="30">
        <f t="shared" ca="1" si="1"/>
        <v>14.844962405019812</v>
      </c>
      <c r="P10" s="30">
        <f t="shared" ca="1" si="2"/>
        <v>20.232202489070271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51540948</v>
      </c>
      <c r="M11" s="38">
        <f t="shared" ca="1" si="5"/>
        <v>18905986</v>
      </c>
      <c r="N11" s="38">
        <f t="shared" ca="1" si="5"/>
        <v>10512679.260000002</v>
      </c>
      <c r="O11" s="38">
        <f t="shared" ca="1" si="1"/>
        <v>20.396751840885816</v>
      </c>
      <c r="P11" s="38">
        <f t="shared" ca="1" si="2"/>
        <v>55.605030385614384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51540948</v>
      </c>
      <c r="M13" s="45">
        <f t="shared" ca="1" si="7"/>
        <v>18905986</v>
      </c>
      <c r="N13" s="45">
        <f t="shared" ca="1" si="7"/>
        <v>10512679.260000002</v>
      </c>
      <c r="O13" s="45">
        <f t="shared" ca="1" si="1"/>
        <v>20.396751840885816</v>
      </c>
      <c r="P13" s="45">
        <f t="shared" ca="1" si="2"/>
        <v>55.605030385614384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71115900</v>
      </c>
      <c r="N14" s="38">
        <f t="shared" ca="1" si="8"/>
        <v>7700731</v>
      </c>
      <c r="O14" s="38">
        <f t="shared" ca="1" si="1"/>
        <v>10.82324922452456</v>
      </c>
      <c r="P14" s="38">
        <f t="shared" ca="1" si="2"/>
        <v>10.828423742088619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71115900</v>
      </c>
      <c r="N16" s="52">
        <f t="shared" ca="1" si="10"/>
        <v>7700731</v>
      </c>
      <c r="O16" s="52">
        <f t="shared" ca="1" si="1"/>
        <v>10.82324922452456</v>
      </c>
      <c r="P16" s="52">
        <f t="shared" ca="1" si="2"/>
        <v>10.828423742088619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90021886</v>
      </c>
      <c r="N18" s="22">
        <f t="shared" ca="1" si="11"/>
        <v>16246076.890000001</v>
      </c>
      <c r="O18" s="22">
        <f t="shared" ref="O18:O26" ca="1" si="12">IF(L18&gt;0,N18*100/L18,0)</f>
        <v>15.011603250951229</v>
      </c>
      <c r="P18" s="22">
        <f t="shared" ref="P18:P26" ca="1" si="13">IF(M18&gt;0,N18*100/M18,0)</f>
        <v>18.046807961788314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90021886</v>
      </c>
      <c r="N20" s="30">
        <f t="shared" ca="1" si="15"/>
        <v>16246076.890000001</v>
      </c>
      <c r="O20" s="30">
        <f t="shared" ca="1" si="12"/>
        <v>15.011603250951229</v>
      </c>
      <c r="P20" s="30">
        <f t="shared" ca="1" si="13"/>
        <v>18.046807961788314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18905986</v>
      </c>
      <c r="N21" s="38">
        <f t="shared" ca="1" si="16"/>
        <v>8545345.8900000006</v>
      </c>
      <c r="O21" s="38">
        <f t="shared" ca="1" si="12"/>
        <v>23.049702263577956</v>
      </c>
      <c r="P21" s="38">
        <f t="shared" ca="1" si="13"/>
        <v>45.19915486026489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18905986</v>
      </c>
      <c r="N23" s="45">
        <f ca="1">N46+N58+N71+N93+N124+N137+N154+N186+N170+N266+N282+N303+N320+N333+N350+N394+N407</f>
        <v>8545345.8900000006</v>
      </c>
      <c r="O23" s="45">
        <f t="shared" ca="1" si="12"/>
        <v>23.049702263577956</v>
      </c>
      <c r="P23" s="45">
        <f t="shared" ca="1" si="13"/>
        <v>45.19915486026489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71115900</v>
      </c>
      <c r="N24" s="38">
        <f t="shared" ca="1" si="18"/>
        <v>7700731</v>
      </c>
      <c r="O24" s="38">
        <f t="shared" ca="1" si="12"/>
        <v>10.82324922452456</v>
      </c>
      <c r="P24" s="38">
        <f t="shared" ca="1" si="13"/>
        <v>10.828423742088619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71115900</v>
      </c>
      <c r="N26" s="52">
        <f t="shared" ca="1" si="20"/>
        <v>7700731</v>
      </c>
      <c r="O26" s="52">
        <f t="shared" ca="1" si="12"/>
        <v>10.82324922452456</v>
      </c>
      <c r="P26" s="52">
        <f t="shared" ca="1" si="13"/>
        <v>10.828423742088619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14467385</v>
      </c>
      <c r="M28" s="22">
        <f t="shared" si="21"/>
        <v>0</v>
      </c>
      <c r="N28" s="22">
        <f t="shared" ca="1" si="21"/>
        <v>1967333.37</v>
      </c>
      <c r="O28" s="22">
        <f t="shared" ref="O28:O37" ca="1" si="22">IF(L28&gt;0,N28*100/L28,0)</f>
        <v>13.598403374210337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14467385</v>
      </c>
      <c r="M30" s="30">
        <f t="shared" si="25"/>
        <v>0</v>
      </c>
      <c r="N30" s="30">
        <f t="shared" ca="1" si="25"/>
        <v>1967333.37</v>
      </c>
      <c r="O30" s="30">
        <f t="shared" ca="1" si="22"/>
        <v>13.598403374210337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14467385</v>
      </c>
      <c r="M31" s="38">
        <f t="shared" si="26"/>
        <v>0</v>
      </c>
      <c r="N31" s="38">
        <f t="shared" ca="1" si="26"/>
        <v>1967333.37</v>
      </c>
      <c r="O31" s="38">
        <f t="shared" ca="1" si="22"/>
        <v>13.598403374210337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14467385</v>
      </c>
      <c r="M33" s="45">
        <f t="shared" si="28"/>
        <v>0</v>
      </c>
      <c r="N33" s="45">
        <f t="shared" ca="1" si="28"/>
        <v>1967333.37</v>
      </c>
      <c r="O33" s="45">
        <f t="shared" ca="1" si="22"/>
        <v>13.598403374210337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88873386</v>
      </c>
      <c r="N37" s="59">
        <f ca="1">N41+N53+N66+N88+N119+N132+N149+N165+N181+N261+N277+N298+N315+N328+N345+N389+N402</f>
        <v>16246076.889999999</v>
      </c>
      <c r="O37" s="59">
        <f t="shared" ca="1" si="22"/>
        <v>15.011603250951227</v>
      </c>
      <c r="P37" s="59">
        <f t="shared" ca="1" si="29"/>
        <v>18.280024674653443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3061021</v>
      </c>
      <c r="N41" s="85">
        <f t="shared" ca="1" si="33"/>
        <v>1456122.48</v>
      </c>
      <c r="O41" s="85">
        <f t="shared" ref="O41:O45" ca="1" si="34">IF(L41&gt;0,N41*100/L41,0)</f>
        <v>25.708590449108598</v>
      </c>
      <c r="P41" s="85">
        <f t="shared" ref="P41:P49" ca="1" si="35">IF(M41&gt;0,N41*100/M41,0)</f>
        <v>47.569829805153248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3061021</v>
      </c>
      <c r="N43" s="92">
        <f t="shared" ca="1" si="37"/>
        <v>1456122.48</v>
      </c>
      <c r="O43" s="92">
        <f t="shared" ca="1" si="34"/>
        <v>25.708590449108598</v>
      </c>
      <c r="P43" s="92">
        <f t="shared" ca="1" si="35"/>
        <v>47.569829805153248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3061021</v>
      </c>
      <c r="N44" s="38">
        <f t="shared" ca="1" si="38"/>
        <v>1456122.48</v>
      </c>
      <c r="O44" s="38">
        <f t="shared" ca="1" si="34"/>
        <v>25.708590449108598</v>
      </c>
      <c r="P44" s="38">
        <f t="shared" ca="1" si="35"/>
        <v>47.569829805153248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3061021)</f>
        <v>3061021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1456122.48)</f>
        <v>1456122.48</v>
      </c>
      <c r="O46" s="45">
        <f ca="1">IF(M46&gt;0,N46*100/M46,0)</f>
        <v>47.569829805153248</v>
      </c>
      <c r="P46" s="45">
        <f t="shared" ca="1" si="35"/>
        <v>47.569829805153248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9655900</v>
      </c>
      <c r="N53" s="116">
        <f t="shared" ca="1" si="41"/>
        <v>3488941.7</v>
      </c>
      <c r="O53" s="116">
        <f t="shared" ref="O53:O61" ca="1" si="42">IF(L53&gt;0,N53*100/L53,0)</f>
        <v>24.806018528393377</v>
      </c>
      <c r="P53" s="116">
        <f t="shared" ref="P53:P61" ca="1" si="43">IF(M53&gt;0,N53*100/M53,0)</f>
        <v>36.132744746735156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9655900</v>
      </c>
      <c r="N55" s="123">
        <f t="shared" ca="1" si="45"/>
        <v>3488941.7</v>
      </c>
      <c r="O55" s="123">
        <f t="shared" ca="1" si="42"/>
        <v>24.806018528393377</v>
      </c>
      <c r="P55" s="123">
        <f t="shared" ca="1" si="43"/>
        <v>36.132744746735156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4412600</v>
      </c>
      <c r="N56" s="38">
        <f t="shared" ca="1" si="46"/>
        <v>2915641.7</v>
      </c>
      <c r="O56" s="38">
        <f t="shared" ca="1" si="42"/>
        <v>33.071410585059326</v>
      </c>
      <c r="P56" s="38">
        <f t="shared" ca="1" si="43"/>
        <v>66.075368263608752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4412600)</f>
        <v>4412600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2915641.7)</f>
        <v>2915641.7</v>
      </c>
      <c r="O58" s="45">
        <f t="shared" ca="1" si="42"/>
        <v>33.071410585059326</v>
      </c>
      <c r="P58" s="45">
        <f t="shared" ca="1" si="43"/>
        <v>66.075368263608752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573300</v>
      </c>
      <c r="O59" s="38">
        <f t="shared" ca="1" si="42"/>
        <v>10.922704669727741</v>
      </c>
      <c r="P59" s="38">
        <f t="shared" ca="1" si="43"/>
        <v>10.933953807716515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573300)</f>
        <v>573300</v>
      </c>
      <c r="O61" s="52">
        <f t="shared" ca="1" si="42"/>
        <v>10.922704669727741</v>
      </c>
      <c r="P61" s="52">
        <f t="shared" ca="1" si="43"/>
        <v>10.933953807716515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2</v>
      </c>
      <c r="K64" s="145">
        <f t="shared" ref="K64:K65" ca="1" si="49">IF(I64&gt;0,J64*100/I64,0)</f>
        <v>50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60</v>
      </c>
      <c r="K65" s="145">
        <f t="shared" ca="1" si="49"/>
        <v>50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1448600</v>
      </c>
      <c r="N66" s="155">
        <f t="shared" ca="1" si="51"/>
        <v>608511.81000000006</v>
      </c>
      <c r="O66" s="155">
        <f t="shared" ref="O66:O74" ca="1" si="52">IF(L66&gt;0,N66*100/L66,0)</f>
        <v>21.855894332303716</v>
      </c>
      <c r="P66" s="155">
        <f t="shared" ref="P66:P74" ca="1" si="53">IF(M66&gt;0,N66*100/M66,0)</f>
        <v>42.006890100786968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1448600</v>
      </c>
      <c r="N68" s="45">
        <f t="shared" ca="1" si="55"/>
        <v>608511.81000000006</v>
      </c>
      <c r="O68" s="45">
        <f t="shared" ca="1" si="52"/>
        <v>21.855894332303716</v>
      </c>
      <c r="P68" s="45">
        <f t="shared" ca="1" si="53"/>
        <v>42.006890100786968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1448600</v>
      </c>
      <c r="N69" s="38">
        <f t="shared" ca="1" si="56"/>
        <v>608511.81000000006</v>
      </c>
      <c r="O69" s="38">
        <f t="shared" ca="1" si="52"/>
        <v>21.855894332303716</v>
      </c>
      <c r="P69" s="38">
        <f t="shared" ca="1" si="53"/>
        <v>42.006890100786968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1448600)</f>
        <v>1448600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608511.81)</f>
        <v>608511.81000000006</v>
      </c>
      <c r="O71" s="45">
        <f t="shared" ca="1" si="52"/>
        <v>21.855894332303716</v>
      </c>
      <c r="P71" s="45">
        <f t="shared" ca="1" si="53"/>
        <v>42.006890100786968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2</v>
      </c>
      <c r="K76" s="163">
        <f t="shared" ref="K76:K84" ca="1" si="59">IF(I76&gt;0,J76*100/I76,0)</f>
        <v>50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60</v>
      </c>
      <c r="K77" s="163">
        <f t="shared" ca="1" si="59"/>
        <v>50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1)</f>
        <v>1</v>
      </c>
      <c r="K78" s="163">
        <f t="shared" ca="1" si="59"/>
        <v>50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30)</f>
        <v>30</v>
      </c>
      <c r="K79" s="163">
        <f t="shared" ca="1" si="59"/>
        <v>50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0)</f>
        <v>0</v>
      </c>
      <c r="K82" s="163">
        <f t="shared" ca="1" si="59"/>
        <v>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0)</f>
        <v>0</v>
      </c>
      <c r="K83" s="163">
        <f t="shared" ca="1" si="59"/>
        <v>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105</v>
      </c>
      <c r="K86" s="145">
        <f t="shared" ref="K86:K87" ca="1" si="62">IF(I86&gt;0,J86*100/I86,0)</f>
        <v>36.842105263157897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45</v>
      </c>
      <c r="K87" s="145">
        <f t="shared" ca="1" si="62"/>
        <v>47.368421052631582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1284880</v>
      </c>
      <c r="N88" s="155">
        <f t="shared" ca="1" si="64"/>
        <v>503375.68</v>
      </c>
      <c r="O88" s="155">
        <f t="shared" ref="O88:O96" ca="1" si="65">IF(L88&gt;0,N88*100/L88,0)</f>
        <v>18.486205554208993</v>
      </c>
      <c r="P88" s="155">
        <f t="shared" ref="P88:P96" ca="1" si="66">IF(M88&gt;0,N88*100/M88,0)</f>
        <v>39.176863209015629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1284880</v>
      </c>
      <c r="N90" s="45">
        <f t="shared" ca="1" si="68"/>
        <v>503375.68</v>
      </c>
      <c r="O90" s="45">
        <f t="shared" ca="1" si="65"/>
        <v>18.486205554208993</v>
      </c>
      <c r="P90" s="45">
        <f t="shared" ca="1" si="66"/>
        <v>39.176863209015629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1284880</v>
      </c>
      <c r="N91" s="38">
        <f t="shared" ca="1" si="69"/>
        <v>503375.68</v>
      </c>
      <c r="O91" s="38">
        <f t="shared" ca="1" si="65"/>
        <v>18.486205554208993</v>
      </c>
      <c r="P91" s="38">
        <f t="shared" ca="1" si="66"/>
        <v>39.176863209015629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1284880)</f>
        <v>1284880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503375.68)</f>
        <v>503375.68</v>
      </c>
      <c r="O93" s="45">
        <f t="shared" ca="1" si="65"/>
        <v>18.486205554208993</v>
      </c>
      <c r="P93" s="45">
        <f t="shared" ca="1" si="66"/>
        <v>39.176863209015629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105</v>
      </c>
      <c r="K98" s="38">
        <f t="shared" ref="K98:K100" ca="1" si="71">IF(I98&gt;0,J98*100/I98,0)</f>
        <v>36.842105263157897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45</v>
      </c>
      <c r="K99" s="38">
        <f t="shared" ca="1" si="71"/>
        <v>47.368421052631582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0</v>
      </c>
      <c r="K100" s="38">
        <f t="shared" ca="1" si="71"/>
        <v>0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105)</f>
        <v>105</v>
      </c>
      <c r="K102" s="38">
        <f t="shared" ref="K102:K104" ca="1" si="72">IF(I102&gt;0,J102*100/I102,0)</f>
        <v>36.842105263157897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55)</f>
        <v>55</v>
      </c>
      <c r="K103" s="38">
        <f t="shared" ca="1" si="72"/>
        <v>57.89473684210526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45)</f>
        <v>45</v>
      </c>
      <c r="K104" s="38">
        <f t="shared" ca="1" si="72"/>
        <v>47.368421052631582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1)</f>
        <v>1</v>
      </c>
      <c r="K106" s="38">
        <f t="shared" ref="K106:K107" ca="1" si="73">IF(I106&gt;0,J106*100/I106,0)</f>
        <v>9.0909090909090917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0)</f>
        <v>0</v>
      </c>
      <c r="K107" s="38">
        <f t="shared" ca="1" si="73"/>
        <v>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0)</f>
        <v>0</v>
      </c>
      <c r="K109" s="38">
        <f t="shared" ref="K109:K116" ca="1" si="74">IF(I109&gt;0,J109*100/I109,0)</f>
        <v>0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0)</f>
        <v>0</v>
      </c>
      <c r="K110" s="38">
        <f t="shared" ca="1" si="74"/>
        <v>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0</v>
      </c>
      <c r="K111" s="195">
        <f t="shared" ca="1" si="74"/>
        <v>0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0</v>
      </c>
      <c r="K112" s="195">
        <f t="shared" ca="1" si="74"/>
        <v>0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0)</f>
        <v>0</v>
      </c>
      <c r="K113" s="38">
        <f t="shared" ca="1" si="74"/>
        <v>0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0)</f>
        <v>0</v>
      </c>
      <c r="K114" s="38">
        <f t="shared" ca="1" si="74"/>
        <v>0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0)</f>
        <v>0</v>
      </c>
      <c r="K115" s="38">
        <f t="shared" ca="1" si="74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83">I146</f>
        <v>9</v>
      </c>
      <c r="J130" s="144">
        <f t="shared" ca="1" si="83"/>
        <v>0</v>
      </c>
      <c r="K130" s="145">
        <f t="shared" ref="K130:K131" ca="1" si="84">IF(I130&gt;0,J130*100/I130,0)</f>
        <v>0</v>
      </c>
      <c r="L130" s="146"/>
      <c r="M130" s="146"/>
      <c r="N130" s="146"/>
      <c r="O130" s="146"/>
      <c r="P130" s="146"/>
    </row>
    <row r="131" spans="1:26" ht="20.25" customHeight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0</v>
      </c>
      <c r="K131" s="145">
        <f t="shared" ca="1" si="84"/>
        <v>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1696500</v>
      </c>
      <c r="N132" s="155">
        <f t="shared" ca="1" si="86"/>
        <v>1030796.69</v>
      </c>
      <c r="O132" s="155">
        <f t="shared" ref="O132:O140" ca="1" si="87">IF(L132&gt;0,N132*100/L132,0)</f>
        <v>43.583733000154325</v>
      </c>
      <c r="P132" s="155">
        <f t="shared" ref="P132:P140" ca="1" si="88">IF(M132&gt;0,N132*100/M132,0)</f>
        <v>60.760193928676685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1696500</v>
      </c>
      <c r="N134" s="45">
        <f t="shared" ca="1" si="90"/>
        <v>1030796.69</v>
      </c>
      <c r="O134" s="45">
        <f t="shared" ca="1" si="87"/>
        <v>43.583733000154325</v>
      </c>
      <c r="P134" s="45">
        <f t="shared" ca="1" si="88"/>
        <v>60.760193928676685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775500</v>
      </c>
      <c r="N135" s="38">
        <f t="shared" ca="1" si="91"/>
        <v>212796.69</v>
      </c>
      <c r="O135" s="38">
        <f t="shared" ca="1" si="87"/>
        <v>14.797123277669417</v>
      </c>
      <c r="P135" s="38">
        <f t="shared" ca="1" si="88"/>
        <v>27.439934235976789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775500)</f>
        <v>775500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212796.69)</f>
        <v>212796.69</v>
      </c>
      <c r="O137" s="45">
        <f t="shared" ca="1" si="87"/>
        <v>14.797123277669417</v>
      </c>
      <c r="P137" s="45">
        <f t="shared" ca="1" si="88"/>
        <v>27.439934235976789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818000</v>
      </c>
      <c r="O138" s="38">
        <f t="shared" ca="1" si="87"/>
        <v>88.241639697950376</v>
      </c>
      <c r="P138" s="38">
        <f t="shared" ca="1" si="88"/>
        <v>88.816503800217149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818000)</f>
        <v>818000</v>
      </c>
      <c r="O140" s="45">
        <f t="shared" ca="1" si="87"/>
        <v>88.241639697950376</v>
      </c>
      <c r="P140" s="45">
        <f t="shared" ca="1" si="88"/>
        <v>88.816503800217149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0"/>
      <c r="D142" s="211" t="s">
        <v>71</v>
      </c>
      <c r="E142" s="212"/>
      <c r="F142" s="33"/>
      <c r="G142" s="213"/>
      <c r="H142" s="168"/>
      <c r="I142" s="37"/>
      <c r="J142" s="214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0)</f>
        <v>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0"/>
      <c r="D143" s="215" t="s">
        <v>72</v>
      </c>
      <c r="E143" s="212"/>
      <c r="F143" s="33"/>
      <c r="G143" s="213"/>
      <c r="H143" s="168" t="s">
        <v>35</v>
      </c>
      <c r="I143" s="37">
        <f ca="1">I145</f>
        <v>90</v>
      </c>
      <c r="J143" s="37">
        <f ca="1">IF(AND(J144&gt;=I144,J145&gt;=I145),J145,0)</f>
        <v>0</v>
      </c>
      <c r="K143" s="38">
        <f t="shared" ref="K143:K146" ca="1" si="93">IF(I143&gt;0,J143*100/I143,0)</f>
        <v>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0"/>
      <c r="D144" s="178"/>
      <c r="E144" s="211" t="s">
        <v>73</v>
      </c>
      <c r="F144" s="33"/>
      <c r="G144" s="213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0)</f>
        <v>0</v>
      </c>
      <c r="K144" s="38">
        <f t="shared" ca="1" si="93"/>
        <v>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0"/>
      <c r="D145" s="178"/>
      <c r="E145" s="211" t="s">
        <v>74</v>
      </c>
      <c r="F145" s="33"/>
      <c r="G145" s="213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0)</f>
        <v>0</v>
      </c>
      <c r="K145" s="38">
        <f t="shared" ca="1" si="93"/>
        <v>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0"/>
      <c r="D146" s="211" t="s">
        <v>75</v>
      </c>
      <c r="E146" s="212"/>
      <c r="F146" s="33"/>
      <c r="G146" s="213"/>
      <c r="H146" s="168" t="s">
        <v>69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0)</f>
        <v>0</v>
      </c>
      <c r="K146" s="38">
        <f t="shared" ca="1" si="93"/>
        <v>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6"/>
      <c r="B148" s="139" t="s">
        <v>77</v>
      </c>
      <c r="C148" s="208"/>
      <c r="D148" s="208"/>
      <c r="E148" s="217"/>
      <c r="F148" s="218"/>
      <c r="G148" s="219"/>
      <c r="H148" s="220" t="s">
        <v>35</v>
      </c>
      <c r="I148" s="144">
        <f t="shared" ref="I148:J148" ca="1" si="94">I159</f>
        <v>40</v>
      </c>
      <c r="J148" s="144">
        <f t="shared" ca="1" si="94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20000</v>
      </c>
      <c r="N149" s="155">
        <f t="shared" ca="1" si="95"/>
        <v>0</v>
      </c>
      <c r="O149" s="155">
        <f t="shared" ref="O149:O157" ca="1" si="96">IF(L149&gt;0,N149*100/L149,0)</f>
        <v>0</v>
      </c>
      <c r="P149" s="155">
        <f t="shared" ref="P149:P157" ca="1" si="97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20000</v>
      </c>
      <c r="N151" s="45">
        <f t="shared" ca="1" si="99"/>
        <v>0</v>
      </c>
      <c r="O151" s="45">
        <f t="shared" ca="1" si="96"/>
        <v>0</v>
      </c>
      <c r="P151" s="45">
        <f t="shared" ca="1" si="97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20000</v>
      </c>
      <c r="N152" s="38">
        <f t="shared" ca="1" si="100"/>
        <v>0</v>
      </c>
      <c r="O152" s="38">
        <f t="shared" ca="1" si="96"/>
        <v>0</v>
      </c>
      <c r="P152" s="38">
        <f t="shared" ca="1" si="97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20000)</f>
        <v>20000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0)</f>
        <v>0</v>
      </c>
      <c r="O154" s="45">
        <f t="shared" ca="1" si="96"/>
        <v>0</v>
      </c>
      <c r="P154" s="45">
        <f t="shared" ca="1" si="97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0"/>
      <c r="D159" s="215" t="s">
        <v>78</v>
      </c>
      <c r="E159" s="212"/>
      <c r="F159" s="33"/>
      <c r="G159" s="213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0)</f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20.25" hidden="1" customHeight="1">
      <c r="A161" s="225"/>
      <c r="B161" s="226"/>
      <c r="C161" s="227"/>
      <c r="D161" s="228" t="s">
        <v>80</v>
      </c>
      <c r="E161" s="22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20.25" customHeight="1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20.25" customHeight="1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20.25" customHeight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102">I174+I177</f>
        <v>139</v>
      </c>
      <c r="J164" s="252">
        <f t="shared" ca="1" si="102"/>
        <v>82</v>
      </c>
      <c r="K164" s="253">
        <f ca="1">IF(I164&gt;0,J164*100/I164,0)</f>
        <v>58.992805755395686</v>
      </c>
      <c r="L164" s="254"/>
      <c r="M164" s="254"/>
      <c r="N164" s="254"/>
      <c r="O164" s="254"/>
      <c r="P164" s="254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271695</v>
      </c>
      <c r="N165" s="155">
        <f t="shared" ca="1" si="103"/>
        <v>148675</v>
      </c>
      <c r="O165" s="155">
        <f t="shared" ref="O165:O173" ca="1" si="104">IF(L165&gt;0,N165*100/L165,0)</f>
        <v>54.721286736966086</v>
      </c>
      <c r="P165" s="155">
        <f t="shared" ref="P165:P173" ca="1" si="105">IF(M165&gt;0,N165*100/M165,0)</f>
        <v>54.721286736966086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271695</v>
      </c>
      <c r="N167" s="45">
        <f t="shared" ca="1" si="107"/>
        <v>148675</v>
      </c>
      <c r="O167" s="45">
        <f t="shared" ca="1" si="104"/>
        <v>54.721286736966086</v>
      </c>
      <c r="P167" s="45">
        <f t="shared" ca="1" si="105"/>
        <v>54.721286736966086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271695</v>
      </c>
      <c r="N168" s="38">
        <f t="shared" ca="1" si="108"/>
        <v>148675</v>
      </c>
      <c r="O168" s="38">
        <f t="shared" ca="1" si="104"/>
        <v>54.721286736966086</v>
      </c>
      <c r="P168" s="38">
        <f t="shared" ca="1" si="105"/>
        <v>54.721286736966086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271695)</f>
        <v>271695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148675)</f>
        <v>148675</v>
      </c>
      <c r="O170" s="45">
        <f t="shared" ca="1" si="104"/>
        <v>54.721286736966086</v>
      </c>
      <c r="P170" s="45">
        <f t="shared" ca="1" si="105"/>
        <v>54.721286736966086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110">I176</f>
        <v>139</v>
      </c>
      <c r="J174" s="260">
        <f t="shared" ca="1" si="110"/>
        <v>82</v>
      </c>
      <c r="K174" s="261">
        <f ca="1">IF(I174&gt;0,J174*100/I174,0)</f>
        <v>58.992805755395686</v>
      </c>
      <c r="L174" s="261"/>
      <c r="M174" s="261"/>
      <c r="N174" s="261"/>
      <c r="O174" s="261"/>
      <c r="P174" s="261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2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82)</f>
        <v>82</v>
      </c>
      <c r="K176" s="163">
        <f ca="1">IF(I176&gt;0,J176*100/I176,0)</f>
        <v>58.992805755395686</v>
      </c>
      <c r="L176" s="163"/>
      <c r="M176" s="163"/>
      <c r="N176" s="163"/>
      <c r="O176" s="163"/>
      <c r="P176" s="163"/>
    </row>
    <row r="177" spans="1:26" ht="20.25" hidden="1" customHeight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20.25" hidden="1" customHeight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7" t="s">
        <v>87</v>
      </c>
      <c r="E179" s="178"/>
      <c r="F179" s="268"/>
      <c r="G179" s="179"/>
      <c r="H179" s="43" t="s">
        <v>35</v>
      </c>
      <c r="I179" s="37"/>
      <c r="J179" s="269"/>
      <c r="K179" s="163"/>
      <c r="L179" s="163"/>
      <c r="M179" s="163"/>
      <c r="N179" s="163"/>
      <c r="O179" s="163"/>
      <c r="P179" s="163"/>
    </row>
    <row r="180" spans="1:26" ht="20.25" customHeight="1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111">I225+I226</f>
        <v>140</v>
      </c>
      <c r="J180" s="252">
        <f t="shared" ca="1" si="11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1079850</v>
      </c>
      <c r="N181" s="155">
        <f t="shared" ca="1" si="112"/>
        <v>305717.28999999998</v>
      </c>
      <c r="O181" s="155">
        <f t="shared" ref="O181:O189" ca="1" si="113">IF(L181&gt;0,N181*100/L181,0)</f>
        <v>14.768951207729467</v>
      </c>
      <c r="P181" s="155">
        <f t="shared" ref="P181:P189" ca="1" si="114">IF(M181&gt;0,N181*100/M181,0)</f>
        <v>28.311088577117189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1079850</v>
      </c>
      <c r="N183" s="45">
        <f t="shared" ca="1" si="116"/>
        <v>305717.28999999998</v>
      </c>
      <c r="O183" s="45">
        <f t="shared" ca="1" si="113"/>
        <v>14.768951207729467</v>
      </c>
      <c r="P183" s="45">
        <f t="shared" ca="1" si="114"/>
        <v>28.311088577117189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1079850</v>
      </c>
      <c r="N184" s="38">
        <f t="shared" ca="1" si="117"/>
        <v>305717.28999999998</v>
      </c>
      <c r="O184" s="38">
        <f t="shared" ca="1" si="113"/>
        <v>14.768951207729467</v>
      </c>
      <c r="P184" s="38">
        <f t="shared" ca="1" si="114"/>
        <v>28.311088577117189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1079850)</f>
        <v>1079850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305717.29)</f>
        <v>305717.28999999998</v>
      </c>
      <c r="O186" s="45">
        <f t="shared" ca="1" si="113"/>
        <v>14.768951207729467</v>
      </c>
      <c r="P186" s="45">
        <f t="shared" ca="1" si="114"/>
        <v>28.311088577117189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119">I193</f>
        <v>56</v>
      </c>
      <c r="J190" s="271">
        <f t="shared" ca="1" si="119"/>
        <v>12</v>
      </c>
      <c r="K190" s="272">
        <f ca="1">IF(I190&gt;0,J190*100/I190,0)</f>
        <v>21.428571428571427</v>
      </c>
      <c r="L190" s="261"/>
      <c r="M190" s="261"/>
      <c r="N190" s="261"/>
      <c r="O190" s="261"/>
      <c r="P190" s="261"/>
    </row>
    <row r="191" spans="1:26" ht="20.25" customHeight="1">
      <c r="A191" s="147"/>
      <c r="B191" s="148"/>
      <c r="C191" s="149" t="s">
        <v>16</v>
      </c>
      <c r="D191" s="273" t="s">
        <v>17</v>
      </c>
      <c r="E191" s="148"/>
      <c r="F191" s="148"/>
      <c r="G191" s="151"/>
      <c r="H191" s="274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5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4724)</f>
        <v>4724</v>
      </c>
      <c r="O191" s="155">
        <f ca="1">IF(L191&gt;0,N191*100/L191,0)</f>
        <v>5.6238095238095234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0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12)</f>
        <v>12</v>
      </c>
      <c r="K193" s="38">
        <f ca="1">IF(I193&gt;0,J193*100/I193,0)</f>
        <v>21.428571428571427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6" t="s">
        <v>35</v>
      </c>
      <c r="I194" s="37"/>
      <c r="J194" s="37">
        <f ca="1">J195+J196</f>
        <v>407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6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407)</f>
        <v>407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6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120">I204</f>
        <v>28</v>
      </c>
      <c r="J197" s="271">
        <f t="shared" ca="1" si="120"/>
        <v>4</v>
      </c>
      <c r="K197" s="272">
        <f ca="1">IF(I197&gt;0,J197*100/I197,0)</f>
        <v>14.285714285714286</v>
      </c>
      <c r="L197" s="261"/>
      <c r="M197" s="261"/>
      <c r="N197" s="261"/>
      <c r="O197" s="261"/>
      <c r="P197" s="261"/>
    </row>
    <row r="198" spans="1:26" ht="20.25" customHeight="1">
      <c r="A198" s="147"/>
      <c r="B198" s="148"/>
      <c r="C198" s="149" t="s">
        <v>16</v>
      </c>
      <c r="D198" s="273" t="s">
        <v>17</v>
      </c>
      <c r="E198" s="148"/>
      <c r="F198" s="148"/>
      <c r="G198" s="151"/>
      <c r="H198" s="274" t="s">
        <v>12</v>
      </c>
      <c r="I198" s="278"/>
      <c r="J198" s="278"/>
      <c r="K198" s="279"/>
      <c r="L198" s="155">
        <f ca="1">L199+L200+L201+L202</f>
        <v>374000</v>
      </c>
      <c r="M198" s="155"/>
      <c r="N198" s="155">
        <f ca="1">N199+N200+N201+N202</f>
        <v>33600</v>
      </c>
      <c r="O198" s="155">
        <f ca="1">IF(L198&gt;0,N198*100/L198,0)</f>
        <v>8.9839572192513373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2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1600)</f>
        <v>1600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3"/>
      <c r="B200" s="280"/>
      <c r="C200" s="210"/>
      <c r="D200" s="215" t="s">
        <v>98</v>
      </c>
      <c r="E200" s="33"/>
      <c r="F200" s="33"/>
      <c r="G200" s="35"/>
      <c r="H200" s="284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2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32000)</f>
        <v>32000</v>
      </c>
      <c r="O200" s="38"/>
      <c r="P200" s="38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20.25" customHeight="1">
      <c r="A201" s="283"/>
      <c r="B201" s="280"/>
      <c r="C201" s="210"/>
      <c r="D201" s="215" t="s">
        <v>99</v>
      </c>
      <c r="E201" s="33"/>
      <c r="F201" s="33"/>
      <c r="G201" s="35"/>
      <c r="H201" s="284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2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0)</f>
        <v>0</v>
      </c>
      <c r="O201" s="38"/>
      <c r="P201" s="38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20.25" customHeight="1">
      <c r="A202" s="283"/>
      <c r="B202" s="280"/>
      <c r="C202" s="210"/>
      <c r="D202" s="215" t="s">
        <v>100</v>
      </c>
      <c r="E202" s="33"/>
      <c r="F202" s="33"/>
      <c r="G202" s="35"/>
      <c r="H202" s="284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2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20.25" customHeight="1">
      <c r="A203" s="170"/>
      <c r="B203" s="171"/>
      <c r="C203" s="210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69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4)</f>
        <v>4</v>
      </c>
      <c r="K204" s="163">
        <f ca="1">IF(I204&gt;0,J204*100/I204,0)</f>
        <v>14.285714285714286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6"/>
      <c r="G206" s="287"/>
      <c r="H206" s="288" t="s">
        <v>96</v>
      </c>
      <c r="I206" s="269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0)</f>
        <v>0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89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21">I215</f>
        <v>10</v>
      </c>
      <c r="J208" s="271">
        <f t="shared" ca="1" si="121"/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20.25" customHeight="1">
      <c r="A209" s="147"/>
      <c r="B209" s="148"/>
      <c r="C209" s="149" t="s">
        <v>16</v>
      </c>
      <c r="D209" s="273" t="s">
        <v>17</v>
      </c>
      <c r="E209" s="148"/>
      <c r="F209" s="148"/>
      <c r="G209" s="151"/>
      <c r="H209" s="274" t="s">
        <v>12</v>
      </c>
      <c r="I209" s="278"/>
      <c r="J209" s="278"/>
      <c r="K209" s="279"/>
      <c r="L209" s="155">
        <f ca="1">L210+L211+L212</f>
        <v>140000</v>
      </c>
      <c r="M209" s="155"/>
      <c r="N209" s="155">
        <f ca="1"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0"/>
      <c r="C210" s="33"/>
      <c r="D210" s="211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2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0)</f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3"/>
      <c r="B211" s="280"/>
      <c r="C211" s="291"/>
      <c r="D211" s="215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2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0)</f>
        <v>0</v>
      </c>
      <c r="O211" s="38"/>
      <c r="P211" s="38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20.25" customHeight="1">
      <c r="A212" s="283"/>
      <c r="B212" s="280"/>
      <c r="C212" s="291"/>
      <c r="D212" s="215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2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0)</f>
        <v>0</v>
      </c>
      <c r="O212" s="38"/>
      <c r="P212" s="38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20.25" customHeight="1">
      <c r="A213" s="170"/>
      <c r="B213" s="171"/>
      <c r="C213" s="291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0)</f>
        <v>0</v>
      </c>
      <c r="K214" s="38">
        <f t="shared" ref="K214:K216" ca="1" si="122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0)</f>
        <v>0</v>
      </c>
      <c r="K215" s="38">
        <f t="shared" ca="1" si="122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23">I224</f>
        <v>239000</v>
      </c>
      <c r="J216" s="271">
        <f t="shared" ca="1" si="123"/>
        <v>0</v>
      </c>
      <c r="K216" s="272">
        <f t="shared" ca="1" si="122"/>
        <v>0</v>
      </c>
      <c r="L216" s="261"/>
      <c r="M216" s="261"/>
      <c r="N216" s="261"/>
      <c r="O216" s="261"/>
      <c r="P216" s="261"/>
    </row>
    <row r="217" spans="1:26" ht="20.25" customHeight="1">
      <c r="A217" s="147"/>
      <c r="B217" s="148"/>
      <c r="C217" s="149" t="s">
        <v>16</v>
      </c>
      <c r="D217" s="273" t="s">
        <v>17</v>
      </c>
      <c r="E217" s="148"/>
      <c r="F217" s="148"/>
      <c r="G217" s="151"/>
      <c r="H217" s="274" t="s">
        <v>12</v>
      </c>
      <c r="I217" s="278"/>
      <c r="J217" s="278"/>
      <c r="K217" s="279"/>
      <c r="L217" s="155">
        <f ca="1">L218+L219+L220</f>
        <v>153600</v>
      </c>
      <c r="M217" s="155"/>
      <c r="N217" s="155">
        <f ca="1">N218+N219+N220</f>
        <v>8700</v>
      </c>
      <c r="O217" s="155">
        <f ca="1">IF(L217&gt;0,N217*100/L217,0)</f>
        <v>5.6640625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0"/>
      <c r="C218" s="33"/>
      <c r="D218" s="211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2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1100)</f>
        <v>1100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3"/>
      <c r="B219" s="280"/>
      <c r="C219" s="291"/>
      <c r="D219" s="215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2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0)</f>
        <v>0</v>
      </c>
      <c r="O219" s="38"/>
      <c r="P219" s="38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20.25" customHeight="1">
      <c r="A220" s="283"/>
      <c r="B220" s="280"/>
      <c r="C220" s="291"/>
      <c r="D220" s="215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2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7600)</f>
        <v>7600</v>
      </c>
      <c r="O220" s="38"/>
      <c r="P220" s="38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20.25" customHeight="1">
      <c r="A221" s="170"/>
      <c r="B221" s="171"/>
      <c r="C221" s="291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1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0)</f>
        <v>0</v>
      </c>
      <c r="K223" s="163">
        <f t="shared" ref="K223:K226" ca="1" si="12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0)</f>
        <v>0</v>
      </c>
      <c r="K224" s="163">
        <f t="shared" ca="1" si="124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1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0)</f>
        <v>0</v>
      </c>
      <c r="K225" s="163">
        <f t="shared" ca="1" si="124"/>
        <v>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2"/>
      <c r="B226" s="293"/>
      <c r="C226" s="294" t="s">
        <v>115</v>
      </c>
      <c r="D226" s="295"/>
      <c r="E226" s="295"/>
      <c r="F226" s="295"/>
      <c r="G226" s="296"/>
      <c r="H226" s="297" t="s">
        <v>35</v>
      </c>
      <c r="I226" s="298">
        <f t="shared" ref="I226:J226" ca="1" si="125">I237+I248</f>
        <v>100</v>
      </c>
      <c r="J226" s="298">
        <f t="shared" ca="1" si="125"/>
        <v>0</v>
      </c>
      <c r="K226" s="299">
        <f t="shared" ca="1" si="124"/>
        <v>0</v>
      </c>
      <c r="L226" s="300"/>
      <c r="M226" s="300"/>
      <c r="N226" s="300"/>
      <c r="O226" s="300"/>
      <c r="P226" s="300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 ht="20.25" customHeight="1">
      <c r="A227" s="302"/>
      <c r="B227" s="303"/>
      <c r="C227" s="304" t="s">
        <v>16</v>
      </c>
      <c r="D227" s="305" t="s">
        <v>17</v>
      </c>
      <c r="E227" s="303"/>
      <c r="F227" s="303"/>
      <c r="G227" s="306"/>
      <c r="H227" s="307" t="s">
        <v>12</v>
      </c>
      <c r="I227" s="308"/>
      <c r="J227" s="308"/>
      <c r="K227" s="309"/>
      <c r="L227" s="310">
        <f t="shared" ref="L227:L231" ca="1" si="126">L238+L249</f>
        <v>293300</v>
      </c>
      <c r="M227" s="310"/>
      <c r="N227" s="310">
        <f t="shared" ref="N227:N231" ca="1" si="127">N238+N249</f>
        <v>39660</v>
      </c>
      <c r="O227" s="311"/>
      <c r="P227" s="311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20.25" customHeight="1">
      <c r="A228" s="313"/>
      <c r="B228" s="314"/>
      <c r="C228" s="315"/>
      <c r="D228" s="316" t="s">
        <v>97</v>
      </c>
      <c r="E228" s="315"/>
      <c r="F228" s="315"/>
      <c r="G228" s="317"/>
      <c r="H228" s="318" t="s">
        <v>12</v>
      </c>
      <c r="I228" s="319"/>
      <c r="J228" s="319"/>
      <c r="K228" s="320"/>
      <c r="L228" s="321">
        <f t="shared" ca="1" si="126"/>
        <v>165000</v>
      </c>
      <c r="M228" s="321"/>
      <c r="N228" s="321">
        <f t="shared" ca="1" si="127"/>
        <v>39660</v>
      </c>
      <c r="O228" s="321"/>
      <c r="P228" s="321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20.25" customHeight="1">
      <c r="A229" s="322"/>
      <c r="B229" s="314"/>
      <c r="C229" s="323"/>
      <c r="D229" s="324" t="s">
        <v>98</v>
      </c>
      <c r="E229" s="315"/>
      <c r="F229" s="315"/>
      <c r="G229" s="317"/>
      <c r="H229" s="318" t="s">
        <v>12</v>
      </c>
      <c r="I229" s="325"/>
      <c r="J229" s="325"/>
      <c r="K229" s="321"/>
      <c r="L229" s="321">
        <f t="shared" ca="1" si="126"/>
        <v>88300</v>
      </c>
      <c r="M229" s="321"/>
      <c r="N229" s="321">
        <f t="shared" ca="1" si="127"/>
        <v>0</v>
      </c>
      <c r="O229" s="321"/>
      <c r="P229" s="321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</row>
    <row r="230" spans="1:26" ht="20.25" customHeight="1">
      <c r="A230" s="322"/>
      <c r="B230" s="314"/>
      <c r="C230" s="323"/>
      <c r="D230" s="324" t="s">
        <v>116</v>
      </c>
      <c r="E230" s="315"/>
      <c r="F230" s="315"/>
      <c r="G230" s="317"/>
      <c r="H230" s="318" t="s">
        <v>12</v>
      </c>
      <c r="I230" s="325"/>
      <c r="J230" s="325"/>
      <c r="K230" s="321"/>
      <c r="L230" s="321">
        <f t="shared" ca="1" si="126"/>
        <v>0</v>
      </c>
      <c r="M230" s="321"/>
      <c r="N230" s="321">
        <f t="shared" ca="1" si="127"/>
        <v>0</v>
      </c>
      <c r="O230" s="321"/>
      <c r="P230" s="321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</row>
    <row r="231" spans="1:26" ht="20.25" customHeight="1">
      <c r="A231" s="322"/>
      <c r="B231" s="314"/>
      <c r="C231" s="323"/>
      <c r="D231" s="324" t="s">
        <v>100</v>
      </c>
      <c r="E231" s="315"/>
      <c r="F231" s="315"/>
      <c r="G231" s="317"/>
      <c r="H231" s="318" t="s">
        <v>12</v>
      </c>
      <c r="I231" s="325"/>
      <c r="J231" s="325"/>
      <c r="K231" s="321"/>
      <c r="L231" s="321">
        <f t="shared" ca="1" si="126"/>
        <v>40000</v>
      </c>
      <c r="M231" s="321"/>
      <c r="N231" s="321">
        <f t="shared" ca="1" si="127"/>
        <v>0</v>
      </c>
      <c r="O231" s="321"/>
      <c r="P231" s="321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6" ht="20.25" customHeight="1">
      <c r="A232" s="327"/>
      <c r="B232" s="328"/>
      <c r="C232" s="323" t="s">
        <v>16</v>
      </c>
      <c r="D232" s="329" t="s">
        <v>38</v>
      </c>
      <c r="E232" s="330"/>
      <c r="F232" s="330"/>
      <c r="G232" s="331"/>
      <c r="H232" s="332"/>
      <c r="I232" s="319"/>
      <c r="J232" s="325"/>
      <c r="K232" s="321"/>
      <c r="L232" s="321"/>
      <c r="M232" s="321"/>
      <c r="N232" s="321"/>
      <c r="O232" s="320"/>
      <c r="P232" s="320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20.25" customHeight="1">
      <c r="A233" s="327"/>
      <c r="B233" s="328"/>
      <c r="C233" s="328"/>
      <c r="D233" s="333" t="s">
        <v>117</v>
      </c>
      <c r="E233" s="334"/>
      <c r="F233" s="334"/>
      <c r="G233" s="335"/>
      <c r="H233" s="336" t="s">
        <v>35</v>
      </c>
      <c r="I233" s="325">
        <f t="shared" ref="I233:J233" ca="1" si="128">I244+I255</f>
        <v>100</v>
      </c>
      <c r="J233" s="325">
        <f t="shared" ca="1" si="128"/>
        <v>0</v>
      </c>
      <c r="K233" s="321">
        <f ca="1">IF(I233&gt;0,J233*100/I233,0)</f>
        <v>0</v>
      </c>
      <c r="L233" s="321"/>
      <c r="M233" s="321"/>
      <c r="N233" s="321"/>
      <c r="O233" s="321"/>
      <c r="P233" s="321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20.25" customHeight="1">
      <c r="A234" s="327"/>
      <c r="B234" s="328"/>
      <c r="C234" s="328"/>
      <c r="D234" s="337" t="s">
        <v>43</v>
      </c>
      <c r="E234" s="334"/>
      <c r="F234" s="334"/>
      <c r="G234" s="335"/>
      <c r="H234" s="336"/>
      <c r="I234" s="325"/>
      <c r="J234" s="325"/>
      <c r="K234" s="321"/>
      <c r="L234" s="321"/>
      <c r="M234" s="321"/>
      <c r="N234" s="321"/>
      <c r="O234" s="320"/>
      <c r="P234" s="320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20.25" customHeight="1">
      <c r="A235" s="327"/>
      <c r="B235" s="328"/>
      <c r="C235" s="328"/>
      <c r="D235" s="328"/>
      <c r="E235" s="338" t="s">
        <v>118</v>
      </c>
      <c r="F235" s="334"/>
      <c r="G235" s="335"/>
      <c r="H235" s="336" t="s">
        <v>35</v>
      </c>
      <c r="I235" s="325">
        <f t="shared" ref="I235:J235" ca="1" si="129">I246+I257</f>
        <v>0</v>
      </c>
      <c r="J235" s="325">
        <f t="shared" ca="1" si="129"/>
        <v>0</v>
      </c>
      <c r="K235" s="321">
        <f t="shared" ref="K235:K237" ca="1" si="130">IF(I235&gt;0,J235*100/I235,0)</f>
        <v>0</v>
      </c>
      <c r="L235" s="321"/>
      <c r="M235" s="321"/>
      <c r="N235" s="321"/>
      <c r="O235" s="321"/>
      <c r="P235" s="321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20.25" customHeight="1">
      <c r="A236" s="327"/>
      <c r="B236" s="328"/>
      <c r="C236" s="328"/>
      <c r="D236" s="328"/>
      <c r="E236" s="338" t="s">
        <v>119</v>
      </c>
      <c r="F236" s="334"/>
      <c r="G236" s="335"/>
      <c r="H236" s="336" t="s">
        <v>69</v>
      </c>
      <c r="I236" s="325">
        <f t="shared" ref="I236:J236" ca="1" si="131">I247+I258</f>
        <v>4</v>
      </c>
      <c r="J236" s="325">
        <f t="shared" ca="1" si="131"/>
        <v>0</v>
      </c>
      <c r="K236" s="321">
        <f t="shared" ca="1" si="130"/>
        <v>0</v>
      </c>
      <c r="L236" s="321"/>
      <c r="M236" s="321"/>
      <c r="N236" s="321"/>
      <c r="O236" s="321"/>
      <c r="P236" s="321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20.25" hidden="1" customHeight="1">
      <c r="A237" s="339"/>
      <c r="B237" s="340"/>
      <c r="C237" s="341" t="s">
        <v>120</v>
      </c>
      <c r="D237" s="342"/>
      <c r="E237" s="342"/>
      <c r="F237" s="342"/>
      <c r="G237" s="343"/>
      <c r="H237" s="265" t="s">
        <v>35</v>
      </c>
      <c r="I237" s="344">
        <f t="shared" ref="I237:J237" ca="1" si="132">I244</f>
        <v>100</v>
      </c>
      <c r="J237" s="344">
        <f t="shared" ca="1" si="132"/>
        <v>0</v>
      </c>
      <c r="K237" s="345">
        <f t="shared" ca="1" si="130"/>
        <v>0</v>
      </c>
      <c r="L237" s="346"/>
      <c r="M237" s="346"/>
      <c r="N237" s="346"/>
      <c r="O237" s="346"/>
      <c r="P237" s="346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</row>
    <row r="238" spans="1:26" ht="20.25" hidden="1" customHeight="1">
      <c r="A238" s="347"/>
      <c r="B238" s="348"/>
      <c r="C238" s="349" t="s">
        <v>16</v>
      </c>
      <c r="D238" s="350" t="s">
        <v>17</v>
      </c>
      <c r="E238" s="348"/>
      <c r="F238" s="348"/>
      <c r="G238" s="351"/>
      <c r="H238" s="352" t="s">
        <v>12</v>
      </c>
      <c r="I238" s="353"/>
      <c r="J238" s="353"/>
      <c r="K238" s="354"/>
      <c r="L238" s="355">
        <f ca="1">L239+L240+L241+L242</f>
        <v>293300</v>
      </c>
      <c r="M238" s="355"/>
      <c r="N238" s="355">
        <f ca="1">N239+N240+N241+N242</f>
        <v>39660</v>
      </c>
      <c r="O238" s="355">
        <f ca="1">IF(L238&gt;0,N238*100/L238,0)</f>
        <v>13.52199113535629</v>
      </c>
      <c r="P238" s="355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6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7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39660)</f>
        <v>39660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8"/>
      <c r="B240" s="356"/>
      <c r="C240" s="359"/>
      <c r="D240" s="222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7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0)</f>
        <v>0</v>
      </c>
      <c r="O240" s="45"/>
      <c r="P240" s="45"/>
      <c r="Q240" s="360"/>
      <c r="R240" s="360"/>
      <c r="S240" s="360"/>
      <c r="T240" s="360"/>
      <c r="U240" s="360"/>
      <c r="V240" s="360"/>
      <c r="W240" s="360"/>
      <c r="X240" s="360"/>
      <c r="Y240" s="360"/>
      <c r="Z240" s="360"/>
    </row>
    <row r="241" spans="1:26" ht="20.25" hidden="1" customHeight="1">
      <c r="A241" s="358"/>
      <c r="B241" s="356"/>
      <c r="C241" s="359"/>
      <c r="D241" s="222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7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0"/>
      <c r="R241" s="360"/>
      <c r="S241" s="360"/>
      <c r="T241" s="360"/>
      <c r="U241" s="360"/>
      <c r="V241" s="360"/>
      <c r="W241" s="360"/>
      <c r="X241" s="360"/>
      <c r="Y241" s="360"/>
      <c r="Z241" s="360"/>
    </row>
    <row r="242" spans="1:26" ht="20.25" hidden="1" customHeight="1">
      <c r="A242" s="358"/>
      <c r="B242" s="356"/>
      <c r="C242" s="359"/>
      <c r="D242" s="222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7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</row>
    <row r="243" spans="1:26" ht="20.25" hidden="1" customHeight="1">
      <c r="A243" s="361"/>
      <c r="B243" s="362"/>
      <c r="C243" s="359" t="s">
        <v>16</v>
      </c>
      <c r="D243" s="266" t="s">
        <v>38</v>
      </c>
      <c r="E243" s="363"/>
      <c r="F243" s="363"/>
      <c r="G243" s="364"/>
      <c r="H243" s="365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1"/>
      <c r="B244" s="362"/>
      <c r="C244" s="362"/>
      <c r="D244" s="366" t="s">
        <v>117</v>
      </c>
      <c r="E244" s="367"/>
      <c r="F244" s="367"/>
      <c r="G244" s="368"/>
      <c r="H244" s="369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0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0)</f>
        <v>0</v>
      </c>
      <c r="K244" s="45">
        <f ca="1">IF(I244&gt;0,J244*100/I244,0)</f>
        <v>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1"/>
      <c r="B245" s="362"/>
      <c r="C245" s="362"/>
      <c r="D245" s="371" t="s">
        <v>43</v>
      </c>
      <c r="E245" s="372"/>
      <c r="F245" s="367"/>
      <c r="G245" s="368"/>
      <c r="H245" s="369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1"/>
      <c r="B246" s="362"/>
      <c r="C246" s="362"/>
      <c r="D246" s="362"/>
      <c r="E246" s="373" t="s">
        <v>118</v>
      </c>
      <c r="F246" s="367"/>
      <c r="G246" s="368"/>
      <c r="H246" s="369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0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1"/>
      <c r="B247" s="362"/>
      <c r="C247" s="362"/>
      <c r="D247" s="362"/>
      <c r="E247" s="267" t="s">
        <v>119</v>
      </c>
      <c r="F247" s="367"/>
      <c r="G247" s="368"/>
      <c r="H247" s="369" t="s">
        <v>69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0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39"/>
      <c r="B248" s="340"/>
      <c r="C248" s="341" t="s">
        <v>121</v>
      </c>
      <c r="D248" s="342"/>
      <c r="E248" s="342"/>
      <c r="F248" s="342"/>
      <c r="G248" s="343"/>
      <c r="H248" s="265" t="s">
        <v>35</v>
      </c>
      <c r="I248" s="344">
        <f t="shared" ref="I248:J248" ca="1" si="134">I255</f>
        <v>0</v>
      </c>
      <c r="J248" s="344">
        <f t="shared" ca="1" si="134"/>
        <v>0</v>
      </c>
      <c r="K248" s="345">
        <f t="shared" ca="1" si="133"/>
        <v>0</v>
      </c>
      <c r="L248" s="346"/>
      <c r="M248" s="346"/>
      <c r="N248" s="346"/>
      <c r="O248" s="346"/>
      <c r="P248" s="346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</row>
    <row r="249" spans="1:26" ht="20.25" hidden="1" customHeight="1">
      <c r="A249" s="347"/>
      <c r="B249" s="348"/>
      <c r="C249" s="349" t="s">
        <v>16</v>
      </c>
      <c r="D249" s="374" t="s">
        <v>17</v>
      </c>
      <c r="E249" s="348"/>
      <c r="F249" s="348"/>
      <c r="G249" s="351"/>
      <c r="H249" s="352" t="s">
        <v>12</v>
      </c>
      <c r="I249" s="353"/>
      <c r="J249" s="353"/>
      <c r="K249" s="354"/>
      <c r="L249" s="355">
        <f ca="1">L250+L251+L252+L253</f>
        <v>0</v>
      </c>
      <c r="M249" s="355"/>
      <c r="N249" s="355">
        <f ca="1">N250+N251+N252+N253</f>
        <v>0</v>
      </c>
      <c r="O249" s="355">
        <f ca="1">IF(L249&gt;0,N249*100/L249,0)</f>
        <v>0</v>
      </c>
      <c r="P249" s="355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6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7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8"/>
      <c r="B251" s="356"/>
      <c r="C251" s="359"/>
      <c r="D251" s="222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7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</row>
    <row r="252" spans="1:26" ht="20.25" hidden="1" customHeight="1">
      <c r="A252" s="358"/>
      <c r="B252" s="356"/>
      <c r="C252" s="359"/>
      <c r="D252" s="222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7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</row>
    <row r="253" spans="1:26" ht="20.25" hidden="1" customHeight="1">
      <c r="A253" s="358"/>
      <c r="B253" s="356"/>
      <c r="C253" s="359"/>
      <c r="D253" s="222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7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0"/>
      <c r="R253" s="360"/>
      <c r="S253" s="360"/>
      <c r="T253" s="360"/>
      <c r="U253" s="360"/>
      <c r="V253" s="360"/>
      <c r="W253" s="360"/>
      <c r="X253" s="360"/>
      <c r="Y253" s="360"/>
      <c r="Z253" s="360"/>
    </row>
    <row r="254" spans="1:26" ht="20.25" hidden="1" customHeight="1">
      <c r="A254" s="361"/>
      <c r="B254" s="362"/>
      <c r="C254" s="359" t="s">
        <v>16</v>
      </c>
      <c r="D254" s="266" t="s">
        <v>38</v>
      </c>
      <c r="E254" s="363"/>
      <c r="F254" s="363"/>
      <c r="G254" s="364"/>
      <c r="H254" s="365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1"/>
      <c r="B255" s="362"/>
      <c r="C255" s="362"/>
      <c r="D255" s="366" t="s">
        <v>117</v>
      </c>
      <c r="E255" s="367"/>
      <c r="F255" s="367"/>
      <c r="G255" s="368"/>
      <c r="H255" s="369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0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1"/>
      <c r="B256" s="362"/>
      <c r="C256" s="362"/>
      <c r="D256" s="371" t="s">
        <v>43</v>
      </c>
      <c r="E256" s="372"/>
      <c r="F256" s="367"/>
      <c r="G256" s="368"/>
      <c r="H256" s="369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1"/>
      <c r="B257" s="362"/>
      <c r="C257" s="362"/>
      <c r="D257" s="362"/>
      <c r="E257" s="373" t="s">
        <v>118</v>
      </c>
      <c r="F257" s="367"/>
      <c r="G257" s="368"/>
      <c r="H257" s="369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0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1"/>
      <c r="B258" s="362"/>
      <c r="C258" s="362"/>
      <c r="D258" s="362"/>
      <c r="E258" s="267" t="s">
        <v>119</v>
      </c>
      <c r="F258" s="367"/>
      <c r="G258" s="368"/>
      <c r="H258" s="369" t="s">
        <v>69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0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20.25" customHeight="1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36">I271</f>
        <v>286</v>
      </c>
      <c r="J260" s="252">
        <f t="shared" ca="1" si="136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153900</v>
      </c>
      <c r="N261" s="155">
        <f t="shared" ca="1" si="137"/>
        <v>36566.660000000003</v>
      </c>
      <c r="O261" s="155">
        <f t="shared" ref="O261:O269" ca="1" si="138">IF(L261&gt;0,N261*100/L261,0)</f>
        <v>5.6984042387408458</v>
      </c>
      <c r="P261" s="155">
        <f t="shared" ref="P261:P269" ca="1" si="139">IF(M261&gt;0,N261*100/M261,0)</f>
        <v>23.760012995451596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153900</v>
      </c>
      <c r="N263" s="45">
        <f t="shared" ca="1" si="141"/>
        <v>36566.660000000003</v>
      </c>
      <c r="O263" s="45">
        <f t="shared" ca="1" si="138"/>
        <v>5.6984042387408458</v>
      </c>
      <c r="P263" s="45">
        <f t="shared" ca="1" si="139"/>
        <v>23.760012995451596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153900</v>
      </c>
      <c r="N264" s="38">
        <f t="shared" ca="1" si="142"/>
        <v>36566.660000000003</v>
      </c>
      <c r="O264" s="38">
        <f t="shared" ca="1" si="138"/>
        <v>5.6984042387408458</v>
      </c>
      <c r="P264" s="38">
        <f t="shared" ca="1" si="139"/>
        <v>23.760012995451596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153900)</f>
        <v>153900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36566.66)</f>
        <v>36566.660000000003</v>
      </c>
      <c r="O266" s="45">
        <f t="shared" ca="1" si="138"/>
        <v>5.6984042387408458</v>
      </c>
      <c r="P266" s="45">
        <f t="shared" ca="1" si="139"/>
        <v>23.760012995451596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5" t="s">
        <v>124</v>
      </c>
      <c r="E271" s="178"/>
      <c r="F271" s="268"/>
      <c r="G271" s="179"/>
      <c r="H271" s="376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0)</f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20.25" hidden="1" customHeight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382">
        <v>0</v>
      </c>
      <c r="J272" s="382">
        <v>0</v>
      </c>
      <c r="K272" s="383">
        <v>0</v>
      </c>
      <c r="L272" s="384"/>
      <c r="M272" s="384"/>
      <c r="N272" s="384"/>
      <c r="O272" s="384"/>
      <c r="P272" s="384"/>
    </row>
    <row r="273" spans="1:26" ht="20.25" customHeight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20.25" customHeight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20.25" customHeight="1">
      <c r="A275" s="399"/>
      <c r="B275" s="400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44">I288</f>
        <v>20</v>
      </c>
      <c r="J275" s="405">
        <f t="shared" ca="1" si="144"/>
        <v>0</v>
      </c>
      <c r="K275" s="406">
        <f t="shared" ref="K275:K276" ca="1" si="145">IF(I275&gt;0,J275*100/I275,0)</f>
        <v>0</v>
      </c>
      <c r="L275" s="407"/>
      <c r="M275" s="407"/>
      <c r="N275" s="407"/>
      <c r="O275" s="407"/>
      <c r="P275" s="407"/>
    </row>
    <row r="276" spans="1:26" ht="20.25" customHeight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46">I287</f>
        <v>200</v>
      </c>
      <c r="J276" s="409">
        <f t="shared" ca="1" si="146"/>
        <v>0</v>
      </c>
      <c r="K276" s="407">
        <f t="shared" ca="1" si="145"/>
        <v>0</v>
      </c>
      <c r="L276" s="407"/>
      <c r="M276" s="407"/>
      <c r="N276" s="407"/>
      <c r="O276" s="407"/>
      <c r="P276" s="407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35640</v>
      </c>
      <c r="N277" s="155">
        <f t="shared" ca="1" si="147"/>
        <v>2940</v>
      </c>
      <c r="O277" s="155">
        <f t="shared" ref="O277:O285" ca="1" si="148">IF(L277&gt;0,N277*100/L277,0)</f>
        <v>3.40790541323751</v>
      </c>
      <c r="P277" s="155">
        <f t="shared" ref="P277:P285" ca="1" si="149">IF(M277&gt;0,N277*100/M277,0)</f>
        <v>8.2491582491582491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35640</v>
      </c>
      <c r="N279" s="45">
        <f t="shared" ca="1" si="151"/>
        <v>2940</v>
      </c>
      <c r="O279" s="45">
        <f t="shared" ca="1" si="148"/>
        <v>3.40790541323751</v>
      </c>
      <c r="P279" s="45">
        <f t="shared" ca="1" si="149"/>
        <v>8.2491582491582491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35640</v>
      </c>
      <c r="N280" s="38">
        <f t="shared" ca="1" si="152"/>
        <v>2940</v>
      </c>
      <c r="O280" s="38">
        <f t="shared" ca="1" si="148"/>
        <v>3.40790541323751</v>
      </c>
      <c r="P280" s="38">
        <f t="shared" ca="1" si="149"/>
        <v>8.2491582491582491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35640)</f>
        <v>35640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2940)</f>
        <v>2940</v>
      </c>
      <c r="O282" s="45">
        <f t="shared" ca="1" si="148"/>
        <v>3.40790541323751</v>
      </c>
      <c r="P282" s="45">
        <f t="shared" ca="1" si="149"/>
        <v>8.2491582491582491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0)</f>
        <v>0</v>
      </c>
      <c r="K287" s="163">
        <f t="shared" ref="K287:K288" ca="1" si="154">IF(I287&gt;0,J287*100/I287,0)</f>
        <v>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IF(AND(J291&gt;=I288,J294&gt;=I288),J294,0)</f>
        <v>0</v>
      </c>
      <c r="K288" s="411">
        <f t="shared" ca="1" si="154"/>
        <v>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69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0)</f>
        <v>0</v>
      </c>
      <c r="K290" s="163">
        <f t="shared" ref="K290:K291" ca="1" si="155">IF(I290&gt;0,J290*100/I290,0)</f>
        <v>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0)</f>
        <v>0</v>
      </c>
      <c r="K291" s="163">
        <f t="shared" ca="1" si="155"/>
        <v>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0)</f>
        <v>0</v>
      </c>
      <c r="K293" s="163">
        <f t="shared" ref="K293:K294" ca="1" si="156">IF(I293&gt;0,J293*100/I293,0)</f>
        <v>0</v>
      </c>
      <c r="L293" s="163"/>
      <c r="M293" s="163"/>
      <c r="N293" s="163"/>
      <c r="O293" s="163"/>
      <c r="P293" s="163"/>
    </row>
    <row r="294" spans="1:26" ht="20.25" customHeight="1">
      <c r="A294" s="377"/>
      <c r="B294" s="378"/>
      <c r="C294" s="378"/>
      <c r="D294" s="380"/>
      <c r="E294" s="421" t="s">
        <v>136</v>
      </c>
      <c r="F294" s="380"/>
      <c r="G294" s="381"/>
      <c r="H294" s="422" t="s">
        <v>35</v>
      </c>
      <c r="I294" s="423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4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0)</f>
        <v>0</v>
      </c>
      <c r="K294" s="384">
        <f t="shared" ca="1" si="156"/>
        <v>0</v>
      </c>
      <c r="L294" s="384"/>
      <c r="M294" s="384"/>
      <c r="N294" s="384"/>
      <c r="O294" s="384"/>
      <c r="P294" s="384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100</v>
      </c>
      <c r="J297" s="444">
        <f t="shared" ca="1" si="157"/>
        <v>20</v>
      </c>
      <c r="K297" s="445">
        <f ca="1">IF(I297&gt;0,J297*100/I297,0)</f>
        <v>20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245600</v>
      </c>
      <c r="N298" s="155">
        <f t="shared" ca="1" si="158"/>
        <v>50445</v>
      </c>
      <c r="O298" s="155">
        <f t="shared" ref="O298:O306" ca="1" si="159">IF(L298&gt;0,N298*100/L298,0)</f>
        <v>12.243932038834952</v>
      </c>
      <c r="P298" s="155">
        <f t="shared" ref="P298:P306" ca="1" si="160">IF(M298&gt;0,N298*100/M298,0)</f>
        <v>20.539495114006513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245600</v>
      </c>
      <c r="N300" s="45">
        <f t="shared" ca="1" si="162"/>
        <v>50445</v>
      </c>
      <c r="O300" s="45">
        <f t="shared" ca="1" si="159"/>
        <v>12.243932038834952</v>
      </c>
      <c r="P300" s="45">
        <f t="shared" ca="1" si="160"/>
        <v>20.539495114006513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245600</v>
      </c>
      <c r="N301" s="38">
        <f t="shared" ca="1" si="163"/>
        <v>50445</v>
      </c>
      <c r="O301" s="38">
        <f t="shared" ca="1" si="159"/>
        <v>12.243932038834952</v>
      </c>
      <c r="P301" s="38">
        <f t="shared" ca="1" si="160"/>
        <v>20.539495114006513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245600)</f>
        <v>245600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50445)</f>
        <v>50445</v>
      </c>
      <c r="O303" s="45">
        <f t="shared" ca="1" si="159"/>
        <v>12.243932038834952</v>
      </c>
      <c r="P303" s="45">
        <f t="shared" ca="1" si="160"/>
        <v>20.539495114006513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22)</f>
        <v>22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20)</f>
        <v>20</v>
      </c>
      <c r="K309" s="38">
        <f t="shared" ref="K309:K312" ca="1" si="165">IF(I309&gt;0,J309*100/I309,0)</f>
        <v>20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0)</f>
        <v>0</v>
      </c>
      <c r="K310" s="38">
        <f t="shared" ca="1" si="165"/>
        <v>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0)</f>
        <v>0</v>
      </c>
      <c r="K312" s="38">
        <f t="shared" ca="1" si="165"/>
        <v>0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5</v>
      </c>
      <c r="J314" s="444">
        <f t="shared" ca="1" si="166"/>
        <v>1</v>
      </c>
      <c r="K314" s="445">
        <f ca="1">IF(I314&gt;0,J314*100/I314,0)</f>
        <v>20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4163900</v>
      </c>
      <c r="N315" s="155">
        <f t="shared" ca="1" si="167"/>
        <v>252888.90999999901</v>
      </c>
      <c r="O315" s="155">
        <f t="shared" ref="O315:O323" ca="1" si="168">IF(L315&gt;0,N315*100/L315,0)</f>
        <v>5.4490176686058831</v>
      </c>
      <c r="P315" s="155">
        <f t="shared" ref="P315:P323" ca="1" si="169">IF(M315&gt;0,N315*100/M315,0)</f>
        <v>6.0733665553927576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4163900</v>
      </c>
      <c r="N317" s="45">
        <f t="shared" ca="1" si="171"/>
        <v>252888.90999999901</v>
      </c>
      <c r="O317" s="45">
        <f t="shared" ca="1" si="168"/>
        <v>5.4490176686058831</v>
      </c>
      <c r="P317" s="45">
        <f t="shared" ca="1" si="169"/>
        <v>6.0733665553927576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563900</v>
      </c>
      <c r="N318" s="38">
        <f t="shared" ca="1" si="172"/>
        <v>252888.90999999901</v>
      </c>
      <c r="O318" s="38">
        <f t="shared" ca="1" si="168"/>
        <v>24.292882804995102</v>
      </c>
      <c r="P318" s="38">
        <f t="shared" ca="1" si="169"/>
        <v>44.846410711118821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563900)</f>
        <v>563900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252888.909999999)</f>
        <v>252888.90999999901</v>
      </c>
      <c r="O320" s="45">
        <f t="shared" ca="1" si="168"/>
        <v>24.292882804995102</v>
      </c>
      <c r="P320" s="45">
        <f t="shared" ca="1" si="169"/>
        <v>44.846410711118821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1)</f>
        <v>1</v>
      </c>
      <c r="K325" s="38">
        <f ca="1">IF(I325&gt;0,J325*100/I325,0)</f>
        <v>20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4">
        <f ca="1">J338+J341+J342+J343</f>
        <v>8501</v>
      </c>
      <c r="K327" s="445">
        <f ca="1">IF(I327&gt;0,J327*100/I327,0)</f>
        <v>46.760176017601758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1148500</v>
      </c>
      <c r="N328" s="155">
        <f t="shared" ca="1" si="174"/>
        <v>423637.2</v>
      </c>
      <c r="O328" s="155">
        <f t="shared" ref="O328:O336" ca="1" si="175">IF(L328&gt;0,N328*100/L328,0)</f>
        <v>18.443064867218112</v>
      </c>
      <c r="P328" s="155">
        <f t="shared" ref="P328:P336" ca="1" si="176">IF(M328&gt;0,N328*100/M328,0)</f>
        <v>36.886129734436224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1148500</v>
      </c>
      <c r="N330" s="45">
        <f t="shared" ca="1" si="178"/>
        <v>423637.2</v>
      </c>
      <c r="O330" s="45">
        <f t="shared" ca="1" si="175"/>
        <v>18.443064867218112</v>
      </c>
      <c r="P330" s="45">
        <f t="shared" ca="1" si="176"/>
        <v>36.886129734436224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1148500</v>
      </c>
      <c r="N331" s="38">
        <f t="shared" ca="1" si="179"/>
        <v>423637.2</v>
      </c>
      <c r="O331" s="38">
        <f t="shared" ca="1" si="175"/>
        <v>18.443064867218112</v>
      </c>
      <c r="P331" s="38">
        <f t="shared" ca="1" si="176"/>
        <v>36.886129734436224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1148500)</f>
        <v>1148500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423637.2)</f>
        <v>423637.2</v>
      </c>
      <c r="O333" s="45">
        <f t="shared" ca="1" si="175"/>
        <v>18.443064867218112</v>
      </c>
      <c r="P333" s="45">
        <f t="shared" ca="1" si="176"/>
        <v>36.886129734436224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3"/>
      <c r="B338" s="33"/>
      <c r="C338" s="280"/>
      <c r="D338" s="181" t="s">
        <v>150</v>
      </c>
      <c r="E338" s="171"/>
      <c r="F338" s="33"/>
      <c r="G338" s="35"/>
      <c r="H338" s="276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17930)</f>
        <v>17930</v>
      </c>
      <c r="J338" s="269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8019)</f>
        <v>8019</v>
      </c>
      <c r="K338" s="38">
        <f ca="1">IF(I338&gt;0,J338*100/I338,0)</f>
        <v>44.723926380368098</v>
      </c>
      <c r="L338" s="38"/>
      <c r="M338" s="38"/>
      <c r="N338" s="38"/>
      <c r="O338" s="38"/>
      <c r="P338" s="38"/>
    </row>
    <row r="339" spans="1:26" ht="20.25" customHeight="1">
      <c r="A339" s="283"/>
      <c r="B339" s="33"/>
      <c r="C339" s="280"/>
      <c r="D339" s="181" t="s">
        <v>151</v>
      </c>
      <c r="E339" s="171"/>
      <c r="F339" s="33"/>
      <c r="G339" s="35"/>
      <c r="H339" s="276"/>
      <c r="I339" s="37"/>
      <c r="J339" s="269"/>
      <c r="K339" s="38"/>
      <c r="L339" s="38"/>
      <c r="M339" s="38"/>
      <c r="N339" s="38"/>
      <c r="O339" s="38"/>
      <c r="P339" s="38"/>
    </row>
    <row r="340" spans="1:26" ht="20.25" customHeight="1">
      <c r="A340" s="283"/>
      <c r="B340" s="33"/>
      <c r="C340" s="280"/>
      <c r="D340" s="178"/>
      <c r="E340" s="181" t="s">
        <v>152</v>
      </c>
      <c r="F340" s="33"/>
      <c r="G340" s="35"/>
      <c r="H340" s="276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69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9)</f>
        <v>9</v>
      </c>
      <c r="K340" s="38">
        <f ca="1">IF(I340&gt;0,J340*100/I340,0)</f>
        <v>16.363636363636363</v>
      </c>
      <c r="L340" s="38"/>
      <c r="M340" s="38"/>
      <c r="N340" s="38"/>
      <c r="O340" s="38"/>
      <c r="P340" s="38"/>
    </row>
    <row r="341" spans="1:26" ht="20.25" customHeight="1">
      <c r="A341" s="283"/>
      <c r="B341" s="33"/>
      <c r="C341" s="280"/>
      <c r="D341" s="178"/>
      <c r="E341" s="181" t="s">
        <v>154</v>
      </c>
      <c r="F341" s="33"/>
      <c r="G341" s="35"/>
      <c r="H341" s="276" t="s">
        <v>35</v>
      </c>
      <c r="I341" s="37"/>
      <c r="J341" s="269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463)</f>
        <v>463</v>
      </c>
      <c r="K341" s="38"/>
      <c r="L341" s="38"/>
      <c r="M341" s="38"/>
      <c r="N341" s="38"/>
      <c r="O341" s="38"/>
      <c r="P341" s="38"/>
    </row>
    <row r="342" spans="1:26" ht="20.25" customHeight="1">
      <c r="A342" s="283"/>
      <c r="B342" s="33"/>
      <c r="C342" s="280"/>
      <c r="D342" s="181" t="s">
        <v>155</v>
      </c>
      <c r="E342" s="178"/>
      <c r="F342" s="178"/>
      <c r="G342" s="35"/>
      <c r="H342" s="276" t="s">
        <v>35</v>
      </c>
      <c r="I342" s="37"/>
      <c r="J342" s="269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3"/>
      <c r="B343" s="33"/>
      <c r="C343" s="280"/>
      <c r="D343" s="181" t="s">
        <v>156</v>
      </c>
      <c r="E343" s="178"/>
      <c r="F343" s="178"/>
      <c r="G343" s="35"/>
      <c r="H343" s="276" t="s">
        <v>35</v>
      </c>
      <c r="I343" s="37"/>
      <c r="J343" s="269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17)</f>
        <v>17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5713900</v>
      </c>
      <c r="N345" s="155">
        <f t="shared" ca="1" si="181"/>
        <v>2932837.4699999997</v>
      </c>
      <c r="O345" s="155">
        <f t="shared" ref="O345:O353" ca="1" si="182">IF(L345&gt;0,N345*100/L345,0)</f>
        <v>28.92153546067469</v>
      </c>
      <c r="P345" s="155">
        <f t="shared" ref="P345:P353" ca="1" si="183">IF(M345&gt;0,N345*100/M345,0)</f>
        <v>51.328120373125188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5713900</v>
      </c>
      <c r="N347" s="45">
        <f t="shared" ca="1" si="185"/>
        <v>2932837.4699999997</v>
      </c>
      <c r="O347" s="45">
        <f t="shared" ca="1" si="182"/>
        <v>28.92153546067469</v>
      </c>
      <c r="P347" s="45">
        <f t="shared" ca="1" si="183"/>
        <v>51.328120373125188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4404300</v>
      </c>
      <c r="N348" s="38">
        <f t="shared" ca="1" si="186"/>
        <v>1628027.47</v>
      </c>
      <c r="O348" s="38">
        <f t="shared" ca="1" si="182"/>
        <v>18.482522730962359</v>
      </c>
      <c r="P348" s="38">
        <f t="shared" ca="1" si="183"/>
        <v>36.964499920532205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4404300)</f>
        <v>4404300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1628027.47)</f>
        <v>1628027.47</v>
      </c>
      <c r="O350" s="45">
        <f t="shared" ca="1" si="182"/>
        <v>18.482522730962359</v>
      </c>
      <c r="P350" s="45">
        <f t="shared" ca="1" si="183"/>
        <v>36.964499920532205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1309600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99.634239462431282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1309600)</f>
        <v>1309600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99.634239462431282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5"/>
      <c r="B354" s="263"/>
      <c r="C354" s="256"/>
      <c r="D354" s="454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2235)</f>
        <v>2235</v>
      </c>
      <c r="J355" s="464">
        <f ca="1">J362</f>
        <v>29</v>
      </c>
      <c r="K355" s="465">
        <f ca="1">IF(I355&gt;0,J355*100/I355,0)</f>
        <v>1.2975391498881432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612)</f>
        <v>612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20162)</f>
        <v>20162</v>
      </c>
      <c r="J359" s="269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5409.64)</f>
        <v>5409.64</v>
      </c>
      <c r="K359" s="38">
        <f t="shared" ca="1" si="188"/>
        <v>26.83086995337764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2235)</f>
        <v>2235</v>
      </c>
      <c r="J360" s="269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418)</f>
        <v>418</v>
      </c>
      <c r="K360" s="38">
        <f t="shared" ca="1" si="188"/>
        <v>18.702460850111859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69">
        <v>0</v>
      </c>
      <c r="J361" s="269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3703.85999999999)</f>
        <v>3703.8599999999901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2235)</f>
        <v>2235</v>
      </c>
      <c r="J362" s="269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29)</f>
        <v>29</v>
      </c>
      <c r="K362" s="38">
        <f t="shared" ca="1" si="188"/>
        <v>1.2975391498881432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69">
        <v>0</v>
      </c>
      <c r="J363" s="269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188.85)</f>
        <v>188.85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4047</v>
      </c>
      <c r="J364" s="478">
        <f t="shared" ca="1" si="189"/>
        <v>500</v>
      </c>
      <c r="K364" s="479">
        <f t="shared" ca="1" si="188"/>
        <v>12.354830738818878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1001)</f>
        <v>1001</v>
      </c>
      <c r="J365" s="490">
        <f ca="1">J372</f>
        <v>2</v>
      </c>
      <c r="K365" s="491">
        <f t="shared" ca="1" si="188"/>
        <v>0.19980019980019981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316)</f>
        <v>316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69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2866.23)</f>
        <v>2866.23</v>
      </c>
      <c r="K369" s="38">
        <f t="shared" ca="1" si="190"/>
        <v>31.907269286429923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1001)</f>
        <v>1001</v>
      </c>
      <c r="J370" s="269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206)</f>
        <v>206</v>
      </c>
      <c r="K370" s="38">
        <f t="shared" ca="1" si="190"/>
        <v>20.579420579420578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69">
        <v>0</v>
      </c>
      <c r="J371" s="269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1973.69)</f>
        <v>1973.69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1001)</f>
        <v>1001</v>
      </c>
      <c r="J372" s="269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2)</f>
        <v>2</v>
      </c>
      <c r="K372" s="38">
        <f t="shared" ca="1" si="190"/>
        <v>0.19980019980019981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69">
        <v>0</v>
      </c>
      <c r="J373" s="269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41.92)</f>
        <v>41.92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3046)</f>
        <v>3046</v>
      </c>
      <c r="J374" s="490">
        <f ca="1">J381</f>
        <v>498</v>
      </c>
      <c r="K374" s="491">
        <f t="shared" ca="1" si="190"/>
        <v>16.34931057124097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297)</f>
        <v>297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11179)</f>
        <v>11179</v>
      </c>
      <c r="J378" s="269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2544.58)</f>
        <v>2544.58</v>
      </c>
      <c r="K378" s="497">
        <f t="shared" ca="1" si="191"/>
        <v>22.762143304410056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3046)</f>
        <v>3046</v>
      </c>
      <c r="J379" s="269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767)</f>
        <v>767</v>
      </c>
      <c r="K379" s="497">
        <f t="shared" ca="1" si="191"/>
        <v>25.180564674983586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69">
        <v>0</v>
      </c>
      <c r="J380" s="269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8967.75999999999)</f>
        <v>8967.7599999999893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3046)</f>
        <v>3046</v>
      </c>
      <c r="J381" s="269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498)</f>
        <v>498</v>
      </c>
      <c r="K381" s="497">
        <f t="shared" ca="1" si="191"/>
        <v>16.34931057124097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69">
        <v>0</v>
      </c>
      <c r="J382" s="269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6186.58)</f>
        <v>6186.58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255"/>
      <c r="B383" s="263"/>
      <c r="C383" s="256"/>
      <c r="D383" s="454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0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1)</f>
        <v>1</v>
      </c>
      <c r="K385" s="501">
        <f ca="1">IF(I385&gt;0,J385*100/I385,0)</f>
        <v>0.30120481927710846</v>
      </c>
      <c r="L385" s="384"/>
      <c r="M385" s="384"/>
      <c r="N385" s="384"/>
      <c r="O385" s="384"/>
      <c r="P385" s="384"/>
    </row>
    <row r="386" spans="1:26" ht="20.25" customHeight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20.25" customHeight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20.25" customHeight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ca="1" si="192">I400</f>
        <v>0</v>
      </c>
      <c r="J388" s="521">
        <f t="shared" ca="1" si="192"/>
        <v>0</v>
      </c>
      <c r="K388" s="522">
        <f ca="1">IF(I388&gt;0,J388*100/I388,0)</f>
        <v>0</v>
      </c>
      <c r="L388" s="523"/>
      <c r="M388" s="523"/>
      <c r="N388" s="523"/>
      <c r="O388" s="523"/>
      <c r="P388" s="523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ca="1" si="201">I412</f>
        <v>15</v>
      </c>
      <c r="J401" s="521">
        <f t="shared" ca="1" si="201"/>
        <v>0</v>
      </c>
      <c r="K401" s="522">
        <f t="shared" ca="1" si="200"/>
        <v>0</v>
      </c>
      <c r="L401" s="523"/>
      <c r="M401" s="523"/>
      <c r="N401" s="523"/>
      <c r="O401" s="523"/>
      <c r="P401" s="523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4962621</v>
      </c>
      <c r="O402" s="155">
        <f t="shared" ref="O402:O410" ca="1" si="203">IF(L402&gt;0,N402*100/L402,0)</f>
        <v>14.595944117647059</v>
      </c>
      <c r="P402" s="155">
        <f t="shared" ref="P402:P410" ca="1" si="204">IF(M402&gt;0,N402*100/M402,0)</f>
        <v>14.595944117647059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4962621</v>
      </c>
      <c r="O404" s="45">
        <f t="shared" ca="1" si="203"/>
        <v>14.595944117647059</v>
      </c>
      <c r="P404" s="45">
        <f t="shared" ca="1" si="204"/>
        <v>14.595944117647059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4962621</v>
      </c>
      <c r="O408" s="38">
        <f t="shared" ca="1" si="203"/>
        <v>14.595944117647059</v>
      </c>
      <c r="P408" s="38">
        <f t="shared" ca="1" si="204"/>
        <v>14.595944117647059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4962621)</f>
        <v>4962621</v>
      </c>
      <c r="O410" s="45">
        <f t="shared" ca="1" si="203"/>
        <v>14.595944117647059</v>
      </c>
      <c r="P410" s="45">
        <f t="shared" ca="1" si="204"/>
        <v>14.595944117647059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29" t="s">
        <v>38</v>
      </c>
      <c r="E411" s="530"/>
      <c r="F411" s="530"/>
      <c r="G411" s="53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177</v>
      </c>
      <c r="E412" s="178"/>
      <c r="F412" s="178"/>
      <c r="G412" s="179"/>
      <c r="H412" s="532" t="s">
        <v>69</v>
      </c>
      <c r="I412" s="269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20.25" customHeigh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0)</f>
        <v>0</v>
      </c>
      <c r="J413" s="539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0)</f>
        <v>0</v>
      </c>
      <c r="K413" s="540">
        <f t="shared" ca="1" si="209"/>
        <v>0</v>
      </c>
      <c r="L413" s="541"/>
      <c r="M413" s="541"/>
      <c r="N413" s="541"/>
      <c r="O413" s="541"/>
      <c r="P413" s="541"/>
    </row>
    <row r="414" spans="1:26" ht="20.25" customHeight="1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210">L419+L444+L467+L502+L523+L544+L629+L655+L685+L737+L754+L770+L786+L805</f>
        <v>14467385</v>
      </c>
      <c r="M414" s="548">
        <f t="shared" si="210"/>
        <v>0</v>
      </c>
      <c r="N414" s="548">
        <f t="shared" ca="1" si="210"/>
        <v>1967333.37</v>
      </c>
      <c r="O414" s="548">
        <f ca="1">IF(L414&gt;0,N414*100/L414,0)</f>
        <v>13.598403374210337</v>
      </c>
      <c r="P414" s="548">
        <f>IF(M414&gt;0,N414*100/M414,0)</f>
        <v>0</v>
      </c>
    </row>
    <row r="415" spans="1:26" ht="20.25" customHeight="1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20.25" customHeight="1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20.25" customHeight="1">
      <c r="A417" s="558">
        <v>1</v>
      </c>
      <c r="B417" s="559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7" ca="1" si="211">I433</f>
        <v>250</v>
      </c>
      <c r="J417" s="564">
        <f t="shared" ca="1" si="211"/>
        <v>25</v>
      </c>
      <c r="K417" s="565">
        <f t="shared" ref="K417:K418" ca="1" si="212">IF(I417&gt;0,J417*100/I417,0)</f>
        <v>10</v>
      </c>
      <c r="L417" s="566"/>
      <c r="M417" s="566"/>
      <c r="N417" s="566"/>
      <c r="O417" s="566"/>
      <c r="P417" s="566"/>
    </row>
    <row r="418" spans="1:26" ht="20.25" customHeight="1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ref="I418:J418" ca="1" si="213">I434</f>
        <v>15</v>
      </c>
      <c r="J418" s="564">
        <f t="shared" ca="1" si="213"/>
        <v>5</v>
      </c>
      <c r="K418" s="565">
        <f t="shared" ca="1" si="212"/>
        <v>33.333333333333336</v>
      </c>
      <c r="L418" s="566"/>
      <c r="M418" s="566"/>
      <c r="N418" s="566"/>
      <c r="O418" s="566"/>
      <c r="P418" s="566"/>
    </row>
    <row r="419" spans="1:26" ht="20.25" customHeight="1">
      <c r="A419" s="147"/>
      <c r="B419" s="148"/>
      <c r="C419" s="148" t="s">
        <v>16</v>
      </c>
      <c r="D419" s="838" t="s">
        <v>17</v>
      </c>
      <c r="E419" s="839"/>
      <c r="F419" s="839"/>
      <c r="G419" s="151"/>
      <c r="H419" s="274" t="s">
        <v>12</v>
      </c>
      <c r="I419" s="153"/>
      <c r="J419" s="153"/>
      <c r="K419" s="154"/>
      <c r="L419" s="155">
        <f t="shared" ref="L419:N419" ca="1" si="214">L420+L421</f>
        <v>1038820</v>
      </c>
      <c r="M419" s="155">
        <f t="shared" si="214"/>
        <v>0</v>
      </c>
      <c r="N419" s="155">
        <f t="shared" ca="1" si="214"/>
        <v>274542</v>
      </c>
      <c r="O419" s="155">
        <f t="shared" ref="O419:O424" ca="1" si="215">IF(L419&gt;0,N419*100/L419,0)</f>
        <v>26.428255135634661</v>
      </c>
      <c r="P419" s="155">
        <f t="shared" ref="P419:P424" si="21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7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7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1038820</v>
      </c>
      <c r="M421" s="45">
        <f t="shared" si="218"/>
        <v>0</v>
      </c>
      <c r="N421" s="45">
        <f t="shared" ca="1" si="218"/>
        <v>274542</v>
      </c>
      <c r="O421" s="45">
        <f t="shared" ca="1" si="215"/>
        <v>26.428255135634661</v>
      </c>
      <c r="P421" s="45">
        <f t="shared" si="21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1038820</v>
      </c>
      <c r="M422" s="38">
        <f t="shared" si="219"/>
        <v>0</v>
      </c>
      <c r="N422" s="38">
        <f t="shared" ca="1" si="219"/>
        <v>274542</v>
      </c>
      <c r="O422" s="38">
        <f t="shared" ca="1" si="215"/>
        <v>26.428255135634661</v>
      </c>
      <c r="P422" s="38">
        <f t="shared" si="21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7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7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1038820)</f>
        <v>1038820</v>
      </c>
      <c r="M424" s="93">
        <v>0</v>
      </c>
      <c r="N424" s="45">
        <f ca="1">N425+N426+N427+N428</f>
        <v>274542</v>
      </c>
      <c r="O424" s="45">
        <f t="shared" ca="1" si="215"/>
        <v>26.428255135634661</v>
      </c>
      <c r="P424" s="45">
        <f t="shared" si="21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8"/>
      <c r="B425" s="569"/>
      <c r="C425" s="570"/>
      <c r="D425" s="570"/>
      <c r="E425" s="570"/>
      <c r="F425" s="571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2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182894)</f>
        <v>182894</v>
      </c>
      <c r="O425" s="38"/>
      <c r="P425" s="38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20.25" customHeight="1">
      <c r="A426" s="568"/>
      <c r="B426" s="569"/>
      <c r="C426" s="570"/>
      <c r="D426" s="570"/>
      <c r="E426" s="570"/>
      <c r="F426" s="571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2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20.25" customHeight="1">
      <c r="A427" s="568"/>
      <c r="B427" s="569"/>
      <c r="C427" s="570"/>
      <c r="D427" s="570"/>
      <c r="E427" s="570"/>
      <c r="F427" s="571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2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20.25" customHeight="1">
      <c r="A428" s="283"/>
      <c r="B428" s="280"/>
      <c r="C428" s="33"/>
      <c r="D428" s="33"/>
      <c r="E428" s="33"/>
      <c r="F428" s="211" t="s">
        <v>189</v>
      </c>
      <c r="G428" s="213"/>
      <c r="H428" s="161" t="s">
        <v>12</v>
      </c>
      <c r="I428" s="37"/>
      <c r="J428" s="37"/>
      <c r="K428" s="38"/>
      <c r="L428" s="38"/>
      <c r="M428" s="38"/>
      <c r="N428" s="282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91648)</f>
        <v>91648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6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6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3" t="s">
        <v>38</v>
      </c>
      <c r="E432" s="574"/>
      <c r="F432" s="574"/>
      <c r="G432" s="575"/>
      <c r="H432" s="576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25)</f>
        <v>25</v>
      </c>
      <c r="K433" s="195">
        <f t="shared" ref="K433:K435" ca="1" si="223">IF(I433&gt;0,J433*100/I433,0)</f>
        <v>10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5</v>
      </c>
      <c r="K434" s="195">
        <f t="shared" ca="1" si="223"/>
        <v>33.333333333333336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7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78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90)</f>
        <v>90</v>
      </c>
      <c r="K435" s="497">
        <f t="shared" ca="1" si="223"/>
        <v>36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7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78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0)</f>
        <v>0</v>
      </c>
      <c r="K437" s="497">
        <f t="shared" ref="K437:K443" ca="1" si="225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0)</f>
        <v>0</v>
      </c>
      <c r="K438" s="38">
        <f t="shared" ca="1" si="225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7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78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70)</f>
        <v>70</v>
      </c>
      <c r="K439" s="497">
        <f t="shared" ca="1" si="225"/>
        <v>31.818181818181817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5)</f>
        <v>5</v>
      </c>
      <c r="K440" s="38">
        <f t="shared" ca="1" si="225"/>
        <v>35.714285714285715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69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226">I460</f>
        <v>255</v>
      </c>
      <c r="J442" s="584">
        <f t="shared" ca="1" si="226"/>
        <v>100</v>
      </c>
      <c r="K442" s="585">
        <f t="shared" ca="1" si="225"/>
        <v>39.215686274509807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20.25" customHeight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227">I462</f>
        <v>820</v>
      </c>
      <c r="J443" s="564">
        <f t="shared" ca="1" si="227"/>
        <v>120</v>
      </c>
      <c r="K443" s="565">
        <f t="shared" ca="1" si="225"/>
        <v>14.634146341463415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20.25" customHeight="1">
      <c r="A444" s="591"/>
      <c r="B444" s="570"/>
      <c r="C444" s="570" t="s">
        <v>16</v>
      </c>
      <c r="D444" s="840" t="s">
        <v>17</v>
      </c>
      <c r="E444" s="834"/>
      <c r="F444" s="834"/>
      <c r="G444" s="189"/>
      <c r="H444" s="592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si="228"/>
        <v>0</v>
      </c>
      <c r="N444" s="195">
        <f t="shared" ca="1" si="228"/>
        <v>221074.35</v>
      </c>
      <c r="O444" s="195">
        <f t="shared" ref="O444:O449" ca="1" si="229">IF(L444&gt;0,N444*100/L444,0)</f>
        <v>10.571852464660763</v>
      </c>
      <c r="P444" s="195">
        <f t="shared" ref="P444:P449" si="230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20.25" hidden="1" customHeight="1">
      <c r="A445" s="593"/>
      <c r="B445" s="594"/>
      <c r="C445" s="594"/>
      <c r="D445" s="595"/>
      <c r="E445" s="596" t="s">
        <v>184</v>
      </c>
      <c r="F445" s="594"/>
      <c r="G445" s="597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20.25" hidden="1" customHeight="1">
      <c r="A446" s="593"/>
      <c r="B446" s="599"/>
      <c r="C446" s="594"/>
      <c r="D446" s="595"/>
      <c r="E446" s="596" t="s">
        <v>185</v>
      </c>
      <c r="F446" s="594"/>
      <c r="G446" s="597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si="232"/>
        <v>0</v>
      </c>
      <c r="N446" s="45">
        <f t="shared" ca="1" si="232"/>
        <v>221074.35</v>
      </c>
      <c r="O446" s="45">
        <f t="shared" ca="1" si="229"/>
        <v>10.571852464660763</v>
      </c>
      <c r="P446" s="45">
        <f t="shared" si="230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20.25" customHeight="1">
      <c r="A447" s="591"/>
      <c r="B447" s="569"/>
      <c r="C447" s="570"/>
      <c r="D447" s="600" t="s">
        <v>20</v>
      </c>
      <c r="E447" s="570"/>
      <c r="F447" s="570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si="233"/>
        <v>0</v>
      </c>
      <c r="N447" s="38">
        <f t="shared" ca="1" si="233"/>
        <v>221074.35</v>
      </c>
      <c r="O447" s="38">
        <f t="shared" ca="1" si="229"/>
        <v>10.571852464660763</v>
      </c>
      <c r="P447" s="38">
        <f t="shared" si="230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20.25" hidden="1" customHeight="1">
      <c r="A448" s="593"/>
      <c r="B448" s="599"/>
      <c r="C448" s="594"/>
      <c r="D448" s="595"/>
      <c r="E448" s="596" t="s">
        <v>184</v>
      </c>
      <c r="F448" s="594"/>
      <c r="G448" s="597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20.25" hidden="1" customHeight="1">
      <c r="A449" s="593"/>
      <c r="B449" s="599"/>
      <c r="C449" s="594"/>
      <c r="D449" s="595"/>
      <c r="E449" s="596" t="s">
        <v>185</v>
      </c>
      <c r="F449" s="594"/>
      <c r="G449" s="597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v>0</v>
      </c>
      <c r="N449" s="45">
        <f ca="1">N450+N451+N452+N453</f>
        <v>221074.35</v>
      </c>
      <c r="O449" s="45">
        <f t="shared" ca="1" si="229"/>
        <v>10.571852464660763</v>
      </c>
      <c r="P449" s="45">
        <f t="shared" si="230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20.25" customHeight="1">
      <c r="A450" s="568"/>
      <c r="B450" s="569"/>
      <c r="C450" s="570"/>
      <c r="D450" s="570"/>
      <c r="E450" s="570"/>
      <c r="F450" s="571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2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97571)</f>
        <v>97571</v>
      </c>
      <c r="O450" s="38"/>
      <c r="P450" s="38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20.25" customHeight="1">
      <c r="A451" s="568"/>
      <c r="B451" s="569"/>
      <c r="C451" s="570"/>
      <c r="D451" s="570"/>
      <c r="E451" s="570"/>
      <c r="F451" s="571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2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0)</f>
        <v>0</v>
      </c>
      <c r="O451" s="38"/>
      <c r="P451" s="38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20.25" customHeight="1">
      <c r="A452" s="568"/>
      <c r="B452" s="569"/>
      <c r="C452" s="569"/>
      <c r="D452" s="569"/>
      <c r="E452" s="569"/>
      <c r="F452" s="571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2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88833.35)</f>
        <v>88833.35</v>
      </c>
      <c r="O452" s="38"/>
      <c r="P452" s="38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20.25" customHeight="1">
      <c r="A453" s="568"/>
      <c r="B453" s="569"/>
      <c r="C453" s="569"/>
      <c r="D453" s="569"/>
      <c r="E453" s="569"/>
      <c r="F453" s="571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2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34670)</f>
        <v>34670</v>
      </c>
      <c r="O453" s="38"/>
      <c r="P453" s="38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20.25" customHeight="1">
      <c r="A454" s="591"/>
      <c r="B454" s="569"/>
      <c r="C454" s="569"/>
      <c r="D454" s="600" t="s">
        <v>21</v>
      </c>
      <c r="E454" s="569"/>
      <c r="F454" s="570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20.25" hidden="1" customHeight="1">
      <c r="A455" s="593"/>
      <c r="B455" s="599"/>
      <c r="C455" s="599"/>
      <c r="D455" s="599"/>
      <c r="E455" s="601" t="s">
        <v>18</v>
      </c>
      <c r="F455" s="594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20.25" hidden="1" customHeight="1">
      <c r="A456" s="593"/>
      <c r="B456" s="599"/>
      <c r="C456" s="599"/>
      <c r="D456" s="599"/>
      <c r="E456" s="601" t="s">
        <v>19</v>
      </c>
      <c r="F456" s="594"/>
      <c r="G456" s="597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20.25" customHeight="1">
      <c r="A457" s="602"/>
      <c r="B457" s="603"/>
      <c r="C457" s="569" t="s">
        <v>16</v>
      </c>
      <c r="D457" s="604" t="s">
        <v>38</v>
      </c>
      <c r="E457" s="605"/>
      <c r="F457" s="606"/>
      <c r="G457" s="607"/>
      <c r="H457" s="175"/>
      <c r="I457" s="37"/>
      <c r="J457" s="37"/>
      <c r="K457" s="38"/>
      <c r="L457" s="38"/>
      <c r="M457" s="38"/>
      <c r="N457" s="38"/>
      <c r="O457" s="38"/>
      <c r="P457" s="38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20.25" hidden="1" customHeight="1">
      <c r="A458" s="608"/>
      <c r="B458" s="609"/>
      <c r="C458" s="609"/>
      <c r="D458" s="610" t="s">
        <v>200</v>
      </c>
      <c r="E458" s="609"/>
      <c r="F458" s="595"/>
      <c r="G458" s="365"/>
      <c r="H458" s="369" t="s">
        <v>35</v>
      </c>
      <c r="I458" s="611">
        <v>0</v>
      </c>
      <c r="J458" s="611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20.25" hidden="1" customHeight="1">
      <c r="A459" s="608"/>
      <c r="B459" s="609"/>
      <c r="C459" s="609"/>
      <c r="D459" s="610" t="s">
        <v>201</v>
      </c>
      <c r="E459" s="609"/>
      <c r="F459" s="595"/>
      <c r="G459" s="365"/>
      <c r="H459" s="369"/>
      <c r="I459" s="44"/>
      <c r="J459" s="44"/>
      <c r="K459" s="45"/>
      <c r="L459" s="45"/>
      <c r="M459" s="45"/>
      <c r="N459" s="45"/>
      <c r="O459" s="45"/>
      <c r="P459" s="45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20.25" customHeight="1">
      <c r="A460" s="602"/>
      <c r="B460" s="603"/>
      <c r="C460" s="603"/>
      <c r="D460" s="612" t="s">
        <v>202</v>
      </c>
      <c r="E460" s="603"/>
      <c r="F460" s="613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100)</f>
        <v>100</v>
      </c>
      <c r="K460" s="38">
        <f ca="1">IF(I460&gt;0,J460*100/I460,0)</f>
        <v>39.215686274509807</v>
      </c>
      <c r="L460" s="38"/>
      <c r="M460" s="38"/>
      <c r="N460" s="38"/>
      <c r="O460" s="38"/>
      <c r="P460" s="38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20.25" customHeight="1">
      <c r="A461" s="602"/>
      <c r="B461" s="603"/>
      <c r="C461" s="603"/>
      <c r="D461" s="612" t="s">
        <v>203</v>
      </c>
      <c r="E461" s="613"/>
      <c r="F461" s="613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20.25" customHeight="1">
      <c r="A462" s="602"/>
      <c r="B462" s="603"/>
      <c r="C462" s="603"/>
      <c r="D462" s="612" t="s">
        <v>204</v>
      </c>
      <c r="E462" s="613"/>
      <c r="F462" s="613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120)</f>
        <v>120</v>
      </c>
      <c r="K462" s="38">
        <f ca="1">IF(I462&gt;0,J462*100/I462,0)</f>
        <v>14.634146341463415</v>
      </c>
      <c r="L462" s="38"/>
      <c r="M462" s="38"/>
      <c r="N462" s="38"/>
      <c r="O462" s="38"/>
      <c r="P462" s="38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20.25" customHeight="1">
      <c r="A463" s="602"/>
      <c r="B463" s="603"/>
      <c r="C463" s="603"/>
      <c r="D463" s="612" t="s">
        <v>59</v>
      </c>
      <c r="E463" s="613"/>
      <c r="F463" s="570"/>
      <c r="G463" s="189"/>
      <c r="H463" s="182" t="s">
        <v>46</v>
      </c>
      <c r="I463" s="269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0)</f>
        <v>0</v>
      </c>
      <c r="K463" s="38"/>
      <c r="L463" s="38"/>
      <c r="M463" s="38"/>
      <c r="N463" s="38"/>
      <c r="O463" s="38"/>
      <c r="P463" s="38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20.25" customHeight="1">
      <c r="A464" s="602"/>
      <c r="B464" s="603"/>
      <c r="C464" s="603"/>
      <c r="D464" s="603"/>
      <c r="E464" s="613"/>
      <c r="F464" s="613"/>
      <c r="G464" s="614"/>
      <c r="H464" s="182" t="s">
        <v>35</v>
      </c>
      <c r="I464" s="269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0)</f>
        <v>0</v>
      </c>
      <c r="K464" s="38"/>
      <c r="L464" s="38"/>
      <c r="M464" s="38"/>
      <c r="N464" s="38"/>
      <c r="O464" s="38"/>
      <c r="P464" s="38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20.25" customHeight="1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4">
        <f ca="1">J485+J489+J492</f>
        <v>383</v>
      </c>
      <c r="K465" s="585">
        <f t="shared" ref="K465:K466" ca="1" si="237">IF(I465&gt;0,J465*100/I465,0)</f>
        <v>77.530364372469634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20.25" customHeight="1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4">
        <f ca="1">J483+J487</f>
        <v>2661</v>
      </c>
      <c r="K466" s="565">
        <f t="shared" ca="1" si="237"/>
        <v>55.4375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20.25" customHeight="1">
      <c r="A467" s="591"/>
      <c r="B467" s="570"/>
      <c r="C467" s="570" t="s">
        <v>16</v>
      </c>
      <c r="D467" s="840" t="s">
        <v>17</v>
      </c>
      <c r="E467" s="834"/>
      <c r="F467" s="834"/>
      <c r="G467" s="189"/>
      <c r="H467" s="592" t="s">
        <v>12</v>
      </c>
      <c r="I467" s="37"/>
      <c r="J467" s="37"/>
      <c r="K467" s="38"/>
      <c r="L467" s="195">
        <f t="shared" ref="L467:N467" ca="1" si="238">L468+L469</f>
        <v>4121187</v>
      </c>
      <c r="M467" s="195">
        <f t="shared" si="238"/>
        <v>0</v>
      </c>
      <c r="N467" s="195">
        <f t="shared" ca="1" si="238"/>
        <v>730606</v>
      </c>
      <c r="O467" s="195">
        <f t="shared" ref="O467:O472" ca="1" si="239">IF(L467&gt;0,N467*100/L467,0)</f>
        <v>17.728047768761765</v>
      </c>
      <c r="P467" s="195">
        <f t="shared" ref="P467:P472" si="240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20.25" hidden="1" customHeight="1">
      <c r="A468" s="593"/>
      <c r="B468" s="594"/>
      <c r="C468" s="594"/>
      <c r="D468" s="595"/>
      <c r="E468" s="596" t="s">
        <v>184</v>
      </c>
      <c r="F468" s="594"/>
      <c r="G468" s="597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20.25" hidden="1" customHeight="1">
      <c r="A469" s="593"/>
      <c r="B469" s="599"/>
      <c r="C469" s="594"/>
      <c r="D469" s="595"/>
      <c r="E469" s="596" t="s">
        <v>185</v>
      </c>
      <c r="F469" s="594"/>
      <c r="G469" s="597"/>
      <c r="H469" s="165" t="s">
        <v>12</v>
      </c>
      <c r="I469" s="44"/>
      <c r="J469" s="44"/>
      <c r="K469" s="45"/>
      <c r="L469" s="45">
        <f t="shared" ref="L469:N469" ca="1" si="242">L472+L479</f>
        <v>4121187</v>
      </c>
      <c r="M469" s="45">
        <f t="shared" si="242"/>
        <v>0</v>
      </c>
      <c r="N469" s="45">
        <f t="shared" ca="1" si="242"/>
        <v>730606</v>
      </c>
      <c r="O469" s="45">
        <f t="shared" ca="1" si="239"/>
        <v>17.728047768761765</v>
      </c>
      <c r="P469" s="45">
        <f t="shared" si="240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20.25" customHeight="1">
      <c r="A470" s="591"/>
      <c r="B470" s="569"/>
      <c r="C470" s="570"/>
      <c r="D470" s="600" t="s">
        <v>20</v>
      </c>
      <c r="E470" s="570"/>
      <c r="F470" s="570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4121187</v>
      </c>
      <c r="M470" s="38">
        <f t="shared" si="243"/>
        <v>0</v>
      </c>
      <c r="N470" s="38">
        <f t="shared" ca="1" si="243"/>
        <v>730606</v>
      </c>
      <c r="O470" s="38">
        <f t="shared" ca="1" si="239"/>
        <v>17.728047768761765</v>
      </c>
      <c r="P470" s="38">
        <f t="shared" si="240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20.25" hidden="1" customHeight="1">
      <c r="A471" s="593"/>
      <c r="B471" s="599"/>
      <c r="C471" s="594"/>
      <c r="D471" s="595"/>
      <c r="E471" s="596" t="s">
        <v>184</v>
      </c>
      <c r="F471" s="594"/>
      <c r="G471" s="597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20.25" hidden="1" customHeight="1">
      <c r="A472" s="593"/>
      <c r="B472" s="599"/>
      <c r="C472" s="594"/>
      <c r="D472" s="595"/>
      <c r="E472" s="596" t="s">
        <v>185</v>
      </c>
      <c r="F472" s="594"/>
      <c r="G472" s="597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4121187)</f>
        <v>4121187</v>
      </c>
      <c r="M472" s="93">
        <v>0</v>
      </c>
      <c r="N472" s="45">
        <f ca="1">N473+N474+N475+N476</f>
        <v>730606</v>
      </c>
      <c r="O472" s="45">
        <f t="shared" ca="1" si="239"/>
        <v>17.728047768761765</v>
      </c>
      <c r="P472" s="45">
        <f t="shared" si="240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20.25" customHeight="1">
      <c r="A473" s="568"/>
      <c r="B473" s="569"/>
      <c r="C473" s="570"/>
      <c r="D473" s="570"/>
      <c r="E473" s="570"/>
      <c r="F473" s="571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2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325595)</f>
        <v>325595</v>
      </c>
      <c r="O473" s="38"/>
      <c r="P473" s="38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20.25" customHeight="1">
      <c r="A474" s="568"/>
      <c r="B474" s="569"/>
      <c r="C474" s="570"/>
      <c r="D474" s="570"/>
      <c r="E474" s="570"/>
      <c r="F474" s="571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2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314000)</f>
        <v>314000</v>
      </c>
      <c r="O474" s="38"/>
      <c r="P474" s="38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20.25" customHeight="1">
      <c r="A475" s="568"/>
      <c r="B475" s="569"/>
      <c r="C475" s="569"/>
      <c r="D475" s="569"/>
      <c r="E475" s="569"/>
      <c r="F475" s="571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2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2900)</f>
        <v>2900</v>
      </c>
      <c r="O475" s="38"/>
      <c r="P475" s="38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20.25" customHeight="1">
      <c r="A476" s="568"/>
      <c r="B476" s="569"/>
      <c r="C476" s="569"/>
      <c r="D476" s="569"/>
      <c r="E476" s="569"/>
      <c r="F476" s="571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2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88111)</f>
        <v>88111</v>
      </c>
      <c r="O476" s="38"/>
      <c r="P476" s="38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20.25" customHeight="1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20.25" hidden="1" customHeight="1">
      <c r="A478" s="593"/>
      <c r="B478" s="599"/>
      <c r="C478" s="599"/>
      <c r="D478" s="599"/>
      <c r="E478" s="601" t="s">
        <v>18</v>
      </c>
      <c r="F478" s="599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20.25" hidden="1" customHeight="1">
      <c r="A479" s="593"/>
      <c r="B479" s="599"/>
      <c r="C479" s="599"/>
      <c r="D479" s="599"/>
      <c r="E479" s="601" t="s">
        <v>19</v>
      </c>
      <c r="F479" s="599"/>
      <c r="G479" s="597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20.25" customHeight="1">
      <c r="A480" s="602"/>
      <c r="B480" s="603"/>
      <c r="C480" s="569" t="s">
        <v>16</v>
      </c>
      <c r="D480" s="615" t="s">
        <v>38</v>
      </c>
      <c r="E480" s="605"/>
      <c r="F480" s="606"/>
      <c r="G480" s="607"/>
      <c r="H480" s="175"/>
      <c r="I480" s="37"/>
      <c r="J480" s="37"/>
      <c r="K480" s="38"/>
      <c r="L480" s="38"/>
      <c r="M480" s="38"/>
      <c r="N480" s="38"/>
      <c r="O480" s="38"/>
      <c r="P480" s="38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20.25" customHeight="1">
      <c r="A481" s="602"/>
      <c r="B481" s="603"/>
      <c r="C481" s="603"/>
      <c r="D481" s="616" t="s">
        <v>206</v>
      </c>
      <c r="E481" s="603"/>
      <c r="F481" s="603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20.25" customHeight="1">
      <c r="A482" s="602"/>
      <c r="B482" s="603"/>
      <c r="C482" s="603"/>
      <c r="D482" s="603"/>
      <c r="E482" s="612" t="s">
        <v>207</v>
      </c>
      <c r="F482" s="603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20.25" customHeight="1">
      <c r="A483" s="602"/>
      <c r="B483" s="603"/>
      <c r="C483" s="603"/>
      <c r="D483" s="603"/>
      <c r="E483" s="603"/>
      <c r="F483" s="612" t="s">
        <v>208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2538)</f>
        <v>2538</v>
      </c>
      <c r="K483" s="38">
        <f ca="1">IF(I483&gt;0,J483*100/I483,0)</f>
        <v>58.75</v>
      </c>
      <c r="L483" s="38"/>
      <c r="M483" s="38"/>
      <c r="N483" s="38"/>
      <c r="O483" s="38"/>
      <c r="P483" s="38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20.25" customHeight="1">
      <c r="A484" s="602"/>
      <c r="B484" s="603"/>
      <c r="C484" s="603"/>
      <c r="D484" s="603"/>
      <c r="E484" s="603"/>
      <c r="F484" s="612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139)</f>
        <v>139</v>
      </c>
      <c r="K484" s="38"/>
      <c r="L484" s="38"/>
      <c r="M484" s="38"/>
      <c r="N484" s="38"/>
      <c r="O484" s="38"/>
      <c r="P484" s="38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20.25" customHeight="1">
      <c r="A485" s="602"/>
      <c r="B485" s="603"/>
      <c r="C485" s="603"/>
      <c r="D485" s="603"/>
      <c r="E485" s="603"/>
      <c r="F485" s="612" t="s">
        <v>210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351)</f>
        <v>351</v>
      </c>
      <c r="K485" s="38">
        <f ca="1">IF(I485&gt;0,J485*100/I485,0)</f>
        <v>81.25</v>
      </c>
      <c r="L485" s="38"/>
      <c r="M485" s="38"/>
      <c r="N485" s="38"/>
      <c r="O485" s="38"/>
      <c r="P485" s="38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20.25" customHeight="1">
      <c r="A486" s="602"/>
      <c r="B486" s="603"/>
      <c r="C486" s="603"/>
      <c r="D486" s="603"/>
      <c r="E486" s="612" t="s">
        <v>62</v>
      </c>
      <c r="F486" s="603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20.25" customHeight="1">
      <c r="A487" s="602"/>
      <c r="B487" s="603"/>
      <c r="C487" s="603"/>
      <c r="D487" s="603"/>
      <c r="E487" s="603"/>
      <c r="F487" s="612" t="s">
        <v>208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123)</f>
        <v>123</v>
      </c>
      <c r="K487" s="38">
        <f ca="1">IF(I487&gt;0,J487*100/I487,0)</f>
        <v>25.625</v>
      </c>
      <c r="L487" s="38"/>
      <c r="M487" s="38"/>
      <c r="N487" s="38"/>
      <c r="O487" s="38"/>
      <c r="P487" s="38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20.25" customHeight="1">
      <c r="A488" s="602"/>
      <c r="B488" s="603"/>
      <c r="C488" s="603"/>
      <c r="D488" s="603"/>
      <c r="E488" s="603"/>
      <c r="F488" s="612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10)</f>
        <v>10</v>
      </c>
      <c r="K488" s="38"/>
      <c r="L488" s="38"/>
      <c r="M488" s="38"/>
      <c r="N488" s="38"/>
      <c r="O488" s="38"/>
      <c r="P488" s="38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20.25" customHeight="1">
      <c r="A489" s="602"/>
      <c r="B489" s="603"/>
      <c r="C489" s="603"/>
      <c r="D489" s="603"/>
      <c r="E489" s="603"/>
      <c r="F489" s="612" t="s">
        <v>212</v>
      </c>
      <c r="G489" s="175"/>
      <c r="H489" s="617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26)</f>
        <v>26</v>
      </c>
      <c r="K489" s="38">
        <f ca="1">IF(I489&gt;0,J489*100/I489,0)</f>
        <v>54.166666666666664</v>
      </c>
      <c r="L489" s="38"/>
      <c r="M489" s="38"/>
      <c r="N489" s="38"/>
      <c r="O489" s="38"/>
      <c r="P489" s="38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20.25" customHeight="1">
      <c r="A490" s="602"/>
      <c r="B490" s="603"/>
      <c r="C490" s="603"/>
      <c r="D490" s="603"/>
      <c r="E490" s="612" t="s">
        <v>63</v>
      </c>
      <c r="F490" s="618"/>
      <c r="G490" s="175"/>
      <c r="H490" s="617"/>
      <c r="I490" s="37"/>
      <c r="J490" s="37"/>
      <c r="K490" s="38"/>
      <c r="L490" s="38"/>
      <c r="M490" s="38"/>
      <c r="N490" s="38"/>
      <c r="O490" s="38"/>
      <c r="P490" s="38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20.25" customHeight="1">
      <c r="A491" s="602"/>
      <c r="B491" s="603"/>
      <c r="C491" s="603"/>
      <c r="D491" s="603"/>
      <c r="E491" s="603"/>
      <c r="F491" s="612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2)</f>
        <v>2</v>
      </c>
      <c r="K491" s="38"/>
      <c r="L491" s="38"/>
      <c r="M491" s="38"/>
      <c r="N491" s="38"/>
      <c r="O491" s="38"/>
      <c r="P491" s="38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20.25" customHeight="1">
      <c r="A492" s="602"/>
      <c r="B492" s="603"/>
      <c r="C492" s="603"/>
      <c r="D492" s="603"/>
      <c r="E492" s="603"/>
      <c r="F492" s="612" t="s">
        <v>214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6)</f>
        <v>6</v>
      </c>
      <c r="K492" s="38">
        <f ca="1">IF(I492&gt;0,J492*100/I492,0)</f>
        <v>42.857142857142854</v>
      </c>
      <c r="L492" s="38"/>
      <c r="M492" s="38"/>
      <c r="N492" s="38"/>
      <c r="O492" s="38"/>
      <c r="P492" s="38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20.25" customHeight="1">
      <c r="A493" s="602"/>
      <c r="B493" s="603"/>
      <c r="C493" s="603"/>
      <c r="D493" s="619" t="s">
        <v>59</v>
      </c>
      <c r="E493" s="603"/>
      <c r="F493" s="613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20.25" customHeight="1">
      <c r="A494" s="602"/>
      <c r="B494" s="603"/>
      <c r="C494" s="603"/>
      <c r="D494" s="603"/>
      <c r="E494" s="612" t="s">
        <v>207</v>
      </c>
      <c r="F494" s="613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20.25" customHeight="1">
      <c r="A495" s="602"/>
      <c r="B495" s="603"/>
      <c r="C495" s="603"/>
      <c r="D495" s="603"/>
      <c r="E495" s="603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20.25" customHeight="1">
      <c r="A496" s="602"/>
      <c r="B496" s="603"/>
      <c r="C496" s="603"/>
      <c r="D496" s="603"/>
      <c r="E496" s="603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0)</f>
        <v>0</v>
      </c>
      <c r="K496" s="38"/>
      <c r="L496" s="38"/>
      <c r="M496" s="38"/>
      <c r="N496" s="38"/>
      <c r="O496" s="38"/>
      <c r="P496" s="38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20.25" customHeight="1">
      <c r="A497" s="602"/>
      <c r="B497" s="603"/>
      <c r="C497" s="603"/>
      <c r="D497" s="603"/>
      <c r="E497" s="612" t="s">
        <v>62</v>
      </c>
      <c r="F497" s="613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20.25" customHeight="1">
      <c r="A498" s="602"/>
      <c r="B498" s="603"/>
      <c r="C498" s="603"/>
      <c r="D498" s="603"/>
      <c r="E498" s="613"/>
      <c r="F498" s="620" t="s">
        <v>217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0)</f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20.25" customHeight="1">
      <c r="A499" s="602"/>
      <c r="B499" s="603"/>
      <c r="C499" s="603"/>
      <c r="D499" s="603"/>
      <c r="E499" s="613"/>
      <c r="F499" s="620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0)</f>
        <v>0</v>
      </c>
      <c r="K499" s="38"/>
      <c r="L499" s="38"/>
      <c r="M499" s="38"/>
      <c r="N499" s="38"/>
      <c r="O499" s="38"/>
      <c r="P499" s="38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20.25" hidden="1" customHeight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47">J516</f>
        <v>0</v>
      </c>
      <c r="K500" s="628">
        <f t="shared" ref="K500:K501" si="248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20.25" hidden="1" customHeight="1">
      <c r="A501" s="630"/>
      <c r="B501" s="631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47"/>
        <v>0</v>
      </c>
      <c r="K501" s="637">
        <f t="shared" si="248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20.25" hidden="1" customHeight="1">
      <c r="A502" s="593"/>
      <c r="B502" s="594"/>
      <c r="C502" s="594" t="s">
        <v>16</v>
      </c>
      <c r="D502" s="841" t="s">
        <v>17</v>
      </c>
      <c r="E502" s="834"/>
      <c r="F502" s="834"/>
      <c r="G502" s="597"/>
      <c r="H502" s="640" t="s">
        <v>12</v>
      </c>
      <c r="I502" s="44"/>
      <c r="J502" s="44"/>
      <c r="K502" s="45"/>
      <c r="L502" s="641">
        <f t="shared" ref="L502:N502" si="249">L503+L504</f>
        <v>0</v>
      </c>
      <c r="M502" s="641">
        <f t="shared" si="249"/>
        <v>0</v>
      </c>
      <c r="N502" s="641">
        <f t="shared" si="249"/>
        <v>0</v>
      </c>
      <c r="O502" s="641">
        <f t="shared" ref="O502:O507" si="250">IF(L502&gt;0,N502*100/L502,0)</f>
        <v>0</v>
      </c>
      <c r="P502" s="641">
        <f t="shared" ref="P502:P507" si="251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20.25" hidden="1" customHeight="1">
      <c r="A503" s="593"/>
      <c r="B503" s="594"/>
      <c r="C503" s="594"/>
      <c r="D503" s="595"/>
      <c r="E503" s="596" t="s">
        <v>184</v>
      </c>
      <c r="F503" s="594"/>
      <c r="G503" s="597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20.25" hidden="1" customHeight="1">
      <c r="A504" s="593"/>
      <c r="B504" s="599"/>
      <c r="C504" s="594"/>
      <c r="D504" s="595"/>
      <c r="E504" s="596" t="s">
        <v>185</v>
      </c>
      <c r="F504" s="594"/>
      <c r="G504" s="597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20.25" hidden="1" customHeight="1">
      <c r="A505" s="593"/>
      <c r="B505" s="599"/>
      <c r="C505" s="594"/>
      <c r="D505" s="642" t="s">
        <v>20</v>
      </c>
      <c r="E505" s="594"/>
      <c r="F505" s="594"/>
      <c r="G505" s="597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20.25" hidden="1" customHeight="1">
      <c r="A506" s="593"/>
      <c r="B506" s="599"/>
      <c r="C506" s="594"/>
      <c r="D506" s="595"/>
      <c r="E506" s="596" t="s">
        <v>184</v>
      </c>
      <c r="F506" s="594"/>
      <c r="G506" s="597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20.25" hidden="1" customHeight="1">
      <c r="A507" s="593"/>
      <c r="B507" s="599"/>
      <c r="C507" s="594"/>
      <c r="D507" s="595"/>
      <c r="E507" s="596" t="s">
        <v>185</v>
      </c>
      <c r="F507" s="594"/>
      <c r="G507" s="597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20.25" hidden="1" customHeight="1">
      <c r="A508" s="643"/>
      <c r="B508" s="599"/>
      <c r="C508" s="594"/>
      <c r="D508" s="594"/>
      <c r="E508" s="594"/>
      <c r="F508" s="596" t="s">
        <v>186</v>
      </c>
      <c r="G508" s="597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20.25" hidden="1" customHeight="1">
      <c r="A509" s="643"/>
      <c r="B509" s="599"/>
      <c r="C509" s="594"/>
      <c r="D509" s="594"/>
      <c r="E509" s="594"/>
      <c r="F509" s="596" t="s">
        <v>187</v>
      </c>
      <c r="G509" s="597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20.25" hidden="1" customHeight="1">
      <c r="A510" s="643"/>
      <c r="B510" s="599"/>
      <c r="C510" s="599"/>
      <c r="D510" s="599"/>
      <c r="E510" s="594"/>
      <c r="F510" s="596" t="s">
        <v>188</v>
      </c>
      <c r="G510" s="597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20.25" hidden="1" customHeight="1">
      <c r="A511" s="643"/>
      <c r="B511" s="599"/>
      <c r="C511" s="599"/>
      <c r="D511" s="599"/>
      <c r="E511" s="594"/>
      <c r="F511" s="596" t="s">
        <v>189</v>
      </c>
      <c r="G511" s="597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20.25" hidden="1" customHeight="1">
      <c r="A512" s="593"/>
      <c r="B512" s="599"/>
      <c r="C512" s="599"/>
      <c r="D512" s="642" t="s">
        <v>21</v>
      </c>
      <c r="E512" s="599"/>
      <c r="F512" s="594"/>
      <c r="G512" s="597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20.25" hidden="1" customHeight="1">
      <c r="A513" s="593"/>
      <c r="B513" s="599"/>
      <c r="C513" s="599"/>
      <c r="D513" s="599"/>
      <c r="E513" s="601" t="s">
        <v>18</v>
      </c>
      <c r="F513" s="594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20.25" hidden="1" customHeight="1">
      <c r="A514" s="593"/>
      <c r="B514" s="599"/>
      <c r="C514" s="599"/>
      <c r="D514" s="594"/>
      <c r="E514" s="601" t="s">
        <v>19</v>
      </c>
      <c r="F514" s="594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20.25" hidden="1" customHeight="1">
      <c r="A515" s="608"/>
      <c r="B515" s="609"/>
      <c r="C515" s="599" t="s">
        <v>16</v>
      </c>
      <c r="D515" s="644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20.25" hidden="1" customHeight="1">
      <c r="A516" s="608"/>
      <c r="B516" s="609"/>
      <c r="C516" s="609"/>
      <c r="D516" s="610" t="s">
        <v>221</v>
      </c>
      <c r="E516" s="595"/>
      <c r="F516" s="595"/>
      <c r="G516" s="365"/>
      <c r="H516" s="647" t="s">
        <v>109</v>
      </c>
      <c r="I516" s="44"/>
      <c r="J516" s="611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20.25" hidden="1" customHeight="1">
      <c r="A517" s="608"/>
      <c r="B517" s="609"/>
      <c r="C517" s="609"/>
      <c r="D517" s="610" t="s">
        <v>222</v>
      </c>
      <c r="E517" s="595"/>
      <c r="F517" s="595"/>
      <c r="G517" s="365"/>
      <c r="H517" s="648" t="s">
        <v>35</v>
      </c>
      <c r="I517" s="649"/>
      <c r="J517" s="649">
        <f>J518+J519</f>
        <v>0</v>
      </c>
      <c r="K517" s="650">
        <f t="shared" si="258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20.25" hidden="1" customHeight="1">
      <c r="A518" s="608"/>
      <c r="B518" s="609"/>
      <c r="C518" s="609"/>
      <c r="D518" s="609"/>
      <c r="E518" s="610" t="s">
        <v>223</v>
      </c>
      <c r="F518" s="595"/>
      <c r="G518" s="365"/>
      <c r="H518" s="369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20.25" hidden="1" customHeight="1">
      <c r="A519" s="608"/>
      <c r="B519" s="609"/>
      <c r="C519" s="609"/>
      <c r="D519" s="609"/>
      <c r="E519" s="610" t="s">
        <v>224</v>
      </c>
      <c r="F519" s="595"/>
      <c r="G519" s="365"/>
      <c r="H519" s="647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20.25" customHeight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20.25" customHeight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20.25" customHeight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670">
        <f t="shared" ref="I522:J522" ca="1" si="259">I537</f>
        <v>190</v>
      </c>
      <c r="J522" s="670">
        <f t="shared" ca="1" si="259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20.25" customHeight="1">
      <c r="A523" s="591"/>
      <c r="B523" s="570"/>
      <c r="C523" s="570" t="s">
        <v>16</v>
      </c>
      <c r="D523" s="840" t="s">
        <v>17</v>
      </c>
      <c r="E523" s="834"/>
      <c r="F523" s="834"/>
      <c r="G523" s="189"/>
      <c r="H523" s="592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si="260"/>
        <v>0</v>
      </c>
      <c r="N523" s="195">
        <f t="shared" ca="1" si="260"/>
        <v>139820</v>
      </c>
      <c r="O523" s="195">
        <f t="shared" ref="O523:O528" ca="1" si="261">IF(L523&gt;0,N523*100/L523,0)</f>
        <v>8.3487586132772851</v>
      </c>
      <c r="P523" s="195">
        <f t="shared" ref="P523:P528" si="262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20.25" hidden="1" customHeight="1">
      <c r="A524" s="593"/>
      <c r="B524" s="594"/>
      <c r="C524" s="594"/>
      <c r="D524" s="595"/>
      <c r="E524" s="596" t="s">
        <v>184</v>
      </c>
      <c r="F524" s="594"/>
      <c r="G524" s="597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20.25" hidden="1" customHeight="1">
      <c r="A525" s="593"/>
      <c r="B525" s="599"/>
      <c r="C525" s="594"/>
      <c r="D525" s="595"/>
      <c r="E525" s="596" t="s">
        <v>185</v>
      </c>
      <c r="F525" s="594"/>
      <c r="G525" s="597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si="264"/>
        <v>0</v>
      </c>
      <c r="N525" s="45">
        <f t="shared" ca="1" si="264"/>
        <v>139820</v>
      </c>
      <c r="O525" s="45">
        <f t="shared" ca="1" si="261"/>
        <v>8.3487586132772851</v>
      </c>
      <c r="P525" s="45">
        <f t="shared" si="262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20.25" customHeight="1">
      <c r="A526" s="591"/>
      <c r="B526" s="569"/>
      <c r="C526" s="570"/>
      <c r="D526" s="600" t="s">
        <v>20</v>
      </c>
      <c r="E526" s="570"/>
      <c r="F526" s="570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si="265"/>
        <v>0</v>
      </c>
      <c r="N526" s="38">
        <f t="shared" ca="1" si="265"/>
        <v>139820</v>
      </c>
      <c r="O526" s="38">
        <f t="shared" ca="1" si="261"/>
        <v>8.3487586132772851</v>
      </c>
      <c r="P526" s="38">
        <f t="shared" si="262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20.25" hidden="1" customHeight="1">
      <c r="A527" s="593"/>
      <c r="B527" s="599"/>
      <c r="C527" s="594"/>
      <c r="D527" s="595"/>
      <c r="E527" s="596" t="s">
        <v>184</v>
      </c>
      <c r="F527" s="594"/>
      <c r="G527" s="597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20.25" hidden="1" customHeight="1">
      <c r="A528" s="593"/>
      <c r="B528" s="599"/>
      <c r="C528" s="594"/>
      <c r="D528" s="595"/>
      <c r="E528" s="596" t="s">
        <v>185</v>
      </c>
      <c r="F528" s="594"/>
      <c r="G528" s="597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v>0</v>
      </c>
      <c r="N528" s="45">
        <f ca="1">N529+N530+N531+N532</f>
        <v>139820</v>
      </c>
      <c r="O528" s="45">
        <f t="shared" ca="1" si="261"/>
        <v>8.3487586132772851</v>
      </c>
      <c r="P528" s="45">
        <f t="shared" si="262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20.25" customHeight="1">
      <c r="A529" s="568"/>
      <c r="B529" s="569"/>
      <c r="C529" s="570"/>
      <c r="D529" s="570"/>
      <c r="E529" s="570"/>
      <c r="F529" s="571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2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118940)</f>
        <v>118940</v>
      </c>
      <c r="O529" s="38"/>
      <c r="P529" s="38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20.25" customHeight="1">
      <c r="A530" s="568"/>
      <c r="B530" s="569"/>
      <c r="C530" s="570"/>
      <c r="D530" s="570"/>
      <c r="E530" s="570"/>
      <c r="F530" s="571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2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0)</f>
        <v>0</v>
      </c>
      <c r="O530" s="38"/>
      <c r="P530" s="38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20.25" customHeight="1">
      <c r="A531" s="568"/>
      <c r="B531" s="569"/>
      <c r="C531" s="570"/>
      <c r="D531" s="570"/>
      <c r="E531" s="570"/>
      <c r="F531" s="571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2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20.25" customHeight="1">
      <c r="A532" s="568"/>
      <c r="B532" s="569"/>
      <c r="C532" s="570"/>
      <c r="D532" s="570"/>
      <c r="E532" s="570"/>
      <c r="F532" s="571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2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20880)</f>
        <v>20880</v>
      </c>
      <c r="O532" s="38"/>
      <c r="P532" s="38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20.25" customHeight="1">
      <c r="A533" s="591"/>
      <c r="B533" s="569"/>
      <c r="C533" s="570"/>
      <c r="D533" s="600" t="s">
        <v>21</v>
      </c>
      <c r="E533" s="570"/>
      <c r="F533" s="570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20.25" hidden="1" customHeight="1">
      <c r="A534" s="593"/>
      <c r="B534" s="599"/>
      <c r="C534" s="594"/>
      <c r="D534" s="594"/>
      <c r="E534" s="596" t="s">
        <v>18</v>
      </c>
      <c r="F534" s="594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20.25" hidden="1" customHeight="1">
      <c r="A535" s="593"/>
      <c r="B535" s="599"/>
      <c r="C535" s="594"/>
      <c r="D535" s="594"/>
      <c r="E535" s="596" t="s">
        <v>19</v>
      </c>
      <c r="F535" s="594"/>
      <c r="G535" s="597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20.25" customHeight="1">
      <c r="A536" s="602"/>
      <c r="B536" s="603"/>
      <c r="C536" s="570" t="s">
        <v>16</v>
      </c>
      <c r="D536" s="673" t="s">
        <v>38</v>
      </c>
      <c r="E536" s="606"/>
      <c r="F536" s="606"/>
      <c r="G536" s="607"/>
      <c r="H536" s="175"/>
      <c r="I536" s="162"/>
      <c r="J536" s="162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20.25" customHeight="1">
      <c r="A537" s="568"/>
      <c r="B537" s="569"/>
      <c r="C537" s="570"/>
      <c r="D537" s="674" t="s">
        <v>227</v>
      </c>
      <c r="E537" s="570"/>
      <c r="F537" s="570"/>
      <c r="G537" s="189"/>
      <c r="H537" s="36" t="s">
        <v>35</v>
      </c>
      <c r="I537" s="675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IF(AND(J538=I538,J539=I539,J540=I540,J541=I541),I537,0)</f>
        <v>0</v>
      </c>
      <c r="K537" s="38">
        <f t="shared" ref="K537:K543" ca="1" si="269">IF(I537&gt;0,J537*100/I537,0)</f>
        <v>0</v>
      </c>
      <c r="L537" s="38"/>
      <c r="M537" s="38"/>
      <c r="N537" s="38"/>
      <c r="O537" s="38"/>
      <c r="P537" s="3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20.25" customHeight="1">
      <c r="A538" s="568"/>
      <c r="B538" s="569"/>
      <c r="C538" s="570"/>
      <c r="D538" s="571"/>
      <c r="E538" s="677" t="s">
        <v>228</v>
      </c>
      <c r="F538" s="570"/>
      <c r="G538" s="189"/>
      <c r="H538" s="36" t="s">
        <v>35</v>
      </c>
      <c r="I538" s="269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138)</f>
        <v>138</v>
      </c>
      <c r="K538" s="38">
        <f t="shared" ca="1" si="269"/>
        <v>72.631578947368425</v>
      </c>
      <c r="L538" s="38"/>
      <c r="M538" s="38"/>
      <c r="N538" s="38"/>
      <c r="O538" s="38"/>
      <c r="P538" s="3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20.25" customHeight="1">
      <c r="A539" s="568"/>
      <c r="B539" s="569"/>
      <c r="C539" s="570"/>
      <c r="D539" s="571"/>
      <c r="E539" s="677" t="s">
        <v>229</v>
      </c>
      <c r="F539" s="570"/>
      <c r="G539" s="189"/>
      <c r="H539" s="36" t="s">
        <v>35</v>
      </c>
      <c r="I539" s="269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72)</f>
        <v>72</v>
      </c>
      <c r="K539" s="38">
        <f t="shared" ca="1" si="269"/>
        <v>45</v>
      </c>
      <c r="L539" s="38"/>
      <c r="M539" s="38"/>
      <c r="N539" s="38"/>
      <c r="O539" s="38"/>
      <c r="P539" s="3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20.25" customHeight="1">
      <c r="A540" s="568"/>
      <c r="B540" s="569"/>
      <c r="C540" s="570"/>
      <c r="D540" s="571"/>
      <c r="E540" s="677" t="s">
        <v>230</v>
      </c>
      <c r="F540" s="570"/>
      <c r="G540" s="189"/>
      <c r="H540" s="36" t="s">
        <v>35</v>
      </c>
      <c r="I540" s="269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20.25" customHeight="1">
      <c r="A541" s="568"/>
      <c r="B541" s="569"/>
      <c r="C541" s="570"/>
      <c r="D541" s="571"/>
      <c r="E541" s="678" t="s">
        <v>231</v>
      </c>
      <c r="F541" s="570"/>
      <c r="G541" s="189"/>
      <c r="H541" s="36" t="s">
        <v>35</v>
      </c>
      <c r="I541" s="269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0)</f>
        <v>0</v>
      </c>
      <c r="K541" s="38">
        <f t="shared" ca="1" si="269"/>
        <v>0</v>
      </c>
      <c r="L541" s="38"/>
      <c r="M541" s="38"/>
      <c r="N541" s="38"/>
      <c r="O541" s="38"/>
      <c r="P541" s="3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20.25" customHeight="1">
      <c r="A542" s="568"/>
      <c r="B542" s="569"/>
      <c r="C542" s="570"/>
      <c r="D542" s="571" t="s">
        <v>59</v>
      </c>
      <c r="E542" s="570"/>
      <c r="F542" s="570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0)</f>
        <v>0</v>
      </c>
      <c r="K542" s="38">
        <f t="shared" ca="1" si="269"/>
        <v>0</v>
      </c>
      <c r="L542" s="38"/>
      <c r="M542" s="38"/>
      <c r="N542" s="38"/>
      <c r="O542" s="38"/>
      <c r="P542" s="3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20.25" customHeight="1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70">I559</f>
        <v>380540</v>
      </c>
      <c r="J543" s="681">
        <f t="shared" ca="1" si="270"/>
        <v>0</v>
      </c>
      <c r="K543" s="682">
        <f t="shared" ca="1" si="269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20.25" customHeight="1">
      <c r="A544" s="683"/>
      <c r="B544" s="684"/>
      <c r="C544" s="684" t="s">
        <v>16</v>
      </c>
      <c r="D544" s="842" t="s">
        <v>17</v>
      </c>
      <c r="E544" s="839"/>
      <c r="F544" s="839"/>
      <c r="G544" s="685"/>
      <c r="H544" s="274" t="s">
        <v>12</v>
      </c>
      <c r="I544" s="153"/>
      <c r="J544" s="153"/>
      <c r="K544" s="154"/>
      <c r="L544" s="155">
        <f t="shared" ref="L544:N544" ca="1" si="271">L545+L546</f>
        <v>3864668</v>
      </c>
      <c r="M544" s="155">
        <f t="shared" si="271"/>
        <v>0</v>
      </c>
      <c r="N544" s="155">
        <f t="shared" ca="1" si="271"/>
        <v>442732.62</v>
      </c>
      <c r="O544" s="155">
        <f t="shared" ref="O544:O549" ca="1" si="272">IF(L544&gt;0,N544*100/L544,0)</f>
        <v>11.45590306851714</v>
      </c>
      <c r="P544" s="155">
        <f t="shared" ref="P544:P549" si="273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20.25" hidden="1" customHeight="1">
      <c r="A545" s="593"/>
      <c r="B545" s="594"/>
      <c r="C545" s="594"/>
      <c r="D545" s="594"/>
      <c r="E545" s="596" t="s">
        <v>184</v>
      </c>
      <c r="F545" s="594"/>
      <c r="G545" s="597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20.25" hidden="1" customHeight="1">
      <c r="A546" s="593"/>
      <c r="B546" s="599"/>
      <c r="C546" s="594"/>
      <c r="D546" s="594"/>
      <c r="E546" s="596" t="s">
        <v>185</v>
      </c>
      <c r="F546" s="594"/>
      <c r="G546" s="597"/>
      <c r="H546" s="165" t="s">
        <v>12</v>
      </c>
      <c r="I546" s="44"/>
      <c r="J546" s="44"/>
      <c r="K546" s="45"/>
      <c r="L546" s="45">
        <f t="shared" ca="1" si="274"/>
        <v>3864668</v>
      </c>
      <c r="M546" s="45">
        <f t="shared" ref="M546:N546" si="276">M549+M556</f>
        <v>0</v>
      </c>
      <c r="N546" s="45">
        <f t="shared" ca="1" si="276"/>
        <v>442732.62</v>
      </c>
      <c r="O546" s="45">
        <f t="shared" ca="1" si="272"/>
        <v>11.45590306851714</v>
      </c>
      <c r="P546" s="45">
        <f t="shared" si="273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20.25" customHeight="1">
      <c r="A547" s="591"/>
      <c r="B547" s="569"/>
      <c r="C547" s="570"/>
      <c r="D547" s="600" t="s">
        <v>20</v>
      </c>
      <c r="E547" s="570"/>
      <c r="F547" s="570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3864668</v>
      </c>
      <c r="M547" s="38">
        <f t="shared" si="277"/>
        <v>0</v>
      </c>
      <c r="N547" s="38">
        <f t="shared" ca="1" si="277"/>
        <v>442732.62</v>
      </c>
      <c r="O547" s="38">
        <f t="shared" ca="1" si="272"/>
        <v>11.45590306851714</v>
      </c>
      <c r="P547" s="38">
        <f t="shared" si="273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20.25" hidden="1" customHeight="1">
      <c r="A548" s="593"/>
      <c r="B548" s="599"/>
      <c r="C548" s="594"/>
      <c r="D548" s="595"/>
      <c r="E548" s="596" t="s">
        <v>184</v>
      </c>
      <c r="F548" s="594"/>
      <c r="G548" s="597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20.25" hidden="1" customHeight="1">
      <c r="A549" s="593"/>
      <c r="B549" s="599"/>
      <c r="C549" s="594"/>
      <c r="D549" s="595"/>
      <c r="E549" s="596" t="s">
        <v>185</v>
      </c>
      <c r="F549" s="594"/>
      <c r="G549" s="597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3864668)</f>
        <v>3864668</v>
      </c>
      <c r="M549" s="93">
        <v>0</v>
      </c>
      <c r="N549" s="45">
        <f ca="1">N550+N551+N552+N553+N554</f>
        <v>442732.62</v>
      </c>
      <c r="O549" s="45">
        <f t="shared" ca="1" si="272"/>
        <v>11.45590306851714</v>
      </c>
      <c r="P549" s="45">
        <f t="shared" si="273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20.25" customHeight="1">
      <c r="A550" s="568"/>
      <c r="B550" s="569"/>
      <c r="C550" s="570"/>
      <c r="D550" s="570"/>
      <c r="E550" s="570"/>
      <c r="F550" s="571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2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0)</f>
        <v>0</v>
      </c>
      <c r="O550" s="38"/>
      <c r="P550" s="38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20.25" customHeight="1">
      <c r="A551" s="568"/>
      <c r="B551" s="569"/>
      <c r="C551" s="569"/>
      <c r="D551" s="569"/>
      <c r="E551" s="570"/>
      <c r="F551" s="571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2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0)</f>
        <v>0</v>
      </c>
      <c r="O551" s="38"/>
      <c r="P551" s="38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20.25" customHeight="1">
      <c r="A552" s="568"/>
      <c r="B552" s="569"/>
      <c r="C552" s="570"/>
      <c r="D552" s="570"/>
      <c r="E552" s="570"/>
      <c r="F552" s="571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2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204965.82)</f>
        <v>204965.82</v>
      </c>
      <c r="O552" s="38"/>
      <c r="P552" s="38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20.25" customHeight="1">
      <c r="A553" s="568"/>
      <c r="B553" s="569"/>
      <c r="C553" s="569"/>
      <c r="D553" s="569"/>
      <c r="E553" s="570"/>
      <c r="F553" s="571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2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214668.8)</f>
        <v>214668.79999999999</v>
      </c>
      <c r="O553" s="38"/>
      <c r="P553" s="38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20.25" customHeight="1">
      <c r="A554" s="568"/>
      <c r="B554" s="569"/>
      <c r="C554" s="569"/>
      <c r="D554" s="569"/>
      <c r="E554" s="570"/>
      <c r="F554" s="571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2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23098)</f>
        <v>23098</v>
      </c>
      <c r="O554" s="38"/>
      <c r="P554" s="38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20.25" customHeight="1">
      <c r="A555" s="591"/>
      <c r="B555" s="569"/>
      <c r="C555" s="569"/>
      <c r="D555" s="600" t="s">
        <v>21</v>
      </c>
      <c r="E555" s="570"/>
      <c r="F555" s="570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20.25" hidden="1" customHeight="1">
      <c r="A556" s="593"/>
      <c r="B556" s="599"/>
      <c r="C556" s="599"/>
      <c r="D556" s="594"/>
      <c r="E556" s="596" t="s">
        <v>18</v>
      </c>
      <c r="F556" s="594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20.25" hidden="1" customHeight="1">
      <c r="A557" s="593"/>
      <c r="B557" s="599"/>
      <c r="C557" s="599"/>
      <c r="D557" s="594"/>
      <c r="E557" s="596" t="s">
        <v>19</v>
      </c>
      <c r="F557" s="594"/>
      <c r="G557" s="597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20.25" customHeight="1">
      <c r="A558" s="602"/>
      <c r="B558" s="603"/>
      <c r="C558" s="569" t="s">
        <v>16</v>
      </c>
      <c r="D558" s="673" t="s">
        <v>38</v>
      </c>
      <c r="E558" s="606"/>
      <c r="F558" s="606"/>
      <c r="G558" s="607"/>
      <c r="H558" s="175"/>
      <c r="I558" s="162"/>
      <c r="J558" s="162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20.25" customHeight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670">
        <f t="shared" ref="I559:J559" ca="1" si="281">I576</f>
        <v>380540</v>
      </c>
      <c r="J559" s="670">
        <f t="shared" ca="1" si="281"/>
        <v>0</v>
      </c>
      <c r="K559" s="671">
        <f t="shared" ref="K559:K561" ca="1" si="282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20.25" customHeight="1">
      <c r="A560" s="602"/>
      <c r="B560" s="603"/>
      <c r="C560" s="616" t="s">
        <v>235</v>
      </c>
      <c r="D560" s="603"/>
      <c r="E560" s="613"/>
      <c r="F560" s="613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68176.13</v>
      </c>
      <c r="K560" s="411">
        <f t="shared" ca="1" si="282"/>
        <v>17.915627792084933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20.25" customHeight="1">
      <c r="A561" s="602"/>
      <c r="B561" s="603"/>
      <c r="C561" s="603"/>
      <c r="D561" s="613"/>
      <c r="E561" s="613"/>
      <c r="F561" s="613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6784.57</v>
      </c>
      <c r="K561" s="411">
        <f t="shared" ca="1" si="282"/>
        <v>15.861434516294945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20.25" customHeight="1">
      <c r="A562" s="602"/>
      <c r="B562" s="603"/>
      <c r="C562" s="603"/>
      <c r="D562" s="187" t="s">
        <v>236</v>
      </c>
      <c r="E562" s="613"/>
      <c r="F562" s="613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65175.94)</f>
        <v>65175.94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20.25" customHeight="1">
      <c r="A563" s="602"/>
      <c r="B563" s="603"/>
      <c r="C563" s="603"/>
      <c r="D563" s="603"/>
      <c r="E563" s="613"/>
      <c r="F563" s="613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6318)</f>
        <v>6318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20.25" customHeight="1">
      <c r="A564" s="602"/>
      <c r="B564" s="603"/>
      <c r="C564" s="603"/>
      <c r="D564" s="187" t="s">
        <v>237</v>
      </c>
      <c r="E564" s="613"/>
      <c r="F564" s="613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2129.69)</f>
        <v>2129.69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20.25" customHeight="1">
      <c r="A565" s="602"/>
      <c r="B565" s="603"/>
      <c r="C565" s="603"/>
      <c r="D565" s="613"/>
      <c r="E565" s="613"/>
      <c r="F565" s="613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196)</f>
        <v>196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20.25" customHeight="1">
      <c r="A566" s="602"/>
      <c r="B566" s="603"/>
      <c r="C566" s="603"/>
      <c r="D566" s="187" t="s">
        <v>238</v>
      </c>
      <c r="E566" s="613"/>
      <c r="F566" s="613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870.5)</f>
        <v>870.5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20.25" customHeight="1">
      <c r="A567" s="602"/>
      <c r="B567" s="603"/>
      <c r="C567" s="603"/>
      <c r="D567" s="613"/>
      <c r="E567" s="613"/>
      <c r="F567" s="613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270.57)</f>
        <v>270.57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20.25" customHeight="1">
      <c r="A568" s="602"/>
      <c r="B568" s="603"/>
      <c r="C568" s="616" t="s">
        <v>239</v>
      </c>
      <c r="D568" s="613"/>
      <c r="E568" s="613"/>
      <c r="F568" s="613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0</v>
      </c>
      <c r="K568" s="411">
        <f t="shared" ref="K568:K569" ca="1" si="285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20.25" customHeight="1">
      <c r="A569" s="602"/>
      <c r="B569" s="603"/>
      <c r="C569" s="603"/>
      <c r="D569" s="603"/>
      <c r="E569" s="613"/>
      <c r="F569" s="613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0</v>
      </c>
      <c r="K569" s="411">
        <f t="shared" ca="1" si="285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20.25" customHeight="1">
      <c r="A570" s="602"/>
      <c r="B570" s="603"/>
      <c r="C570" s="603"/>
      <c r="D570" s="187" t="s">
        <v>240</v>
      </c>
      <c r="E570" s="603"/>
      <c r="F570" s="613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0)</f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20.25" customHeight="1">
      <c r="A571" s="602"/>
      <c r="B571" s="603"/>
      <c r="C571" s="603"/>
      <c r="D571" s="603"/>
      <c r="E571" s="613"/>
      <c r="F571" s="613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0)</f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20.25" customHeight="1">
      <c r="A572" s="602"/>
      <c r="B572" s="603"/>
      <c r="C572" s="603"/>
      <c r="D572" s="187" t="s">
        <v>241</v>
      </c>
      <c r="E572" s="613"/>
      <c r="F572" s="613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0)</f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20.25" customHeight="1">
      <c r="A573" s="602"/>
      <c r="B573" s="603"/>
      <c r="C573" s="603"/>
      <c r="D573" s="613"/>
      <c r="E573" s="613"/>
      <c r="F573" s="613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0)</f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20.25" customHeight="1">
      <c r="A574" s="602"/>
      <c r="B574" s="603"/>
      <c r="C574" s="603"/>
      <c r="D574" s="187" t="s">
        <v>242</v>
      </c>
      <c r="E574" s="613"/>
      <c r="F574" s="613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0)</f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20.25" customHeight="1">
      <c r="A575" s="602"/>
      <c r="B575" s="603"/>
      <c r="C575" s="603"/>
      <c r="D575" s="603"/>
      <c r="E575" s="613"/>
      <c r="F575" s="613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0)</f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20.25" customHeight="1">
      <c r="A576" s="602"/>
      <c r="B576" s="603"/>
      <c r="C576" s="616" t="s">
        <v>243</v>
      </c>
      <c r="D576" s="603"/>
      <c r="E576" s="603"/>
      <c r="F576" s="613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0</v>
      </c>
      <c r="K576" s="411">
        <f t="shared" ref="K576:K577" ca="1" si="287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20.25" customHeight="1">
      <c r="A577" s="602"/>
      <c r="B577" s="603"/>
      <c r="C577" s="603"/>
      <c r="D577" s="603"/>
      <c r="E577" s="613"/>
      <c r="F577" s="613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0</v>
      </c>
      <c r="K577" s="411">
        <f t="shared" ca="1" si="287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20.25" customHeight="1">
      <c r="A578" s="602"/>
      <c r="B578" s="603"/>
      <c r="C578" s="603"/>
      <c r="D578" s="187" t="s">
        <v>244</v>
      </c>
      <c r="E578" s="613"/>
      <c r="F578" s="613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0)</f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20.25" customHeight="1">
      <c r="A579" s="602"/>
      <c r="B579" s="603"/>
      <c r="C579" s="603"/>
      <c r="D579" s="603"/>
      <c r="E579" s="613"/>
      <c r="F579" s="613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0)</f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20.25" customHeight="1">
      <c r="A580" s="602"/>
      <c r="B580" s="603"/>
      <c r="C580" s="603"/>
      <c r="D580" s="187" t="s">
        <v>245</v>
      </c>
      <c r="E580" s="613"/>
      <c r="F580" s="613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0)</f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20.25" customHeight="1">
      <c r="A581" s="602"/>
      <c r="B581" s="603"/>
      <c r="C581" s="603"/>
      <c r="D581" s="603"/>
      <c r="E581" s="613"/>
      <c r="F581" s="613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0)</f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20.25" customHeight="1">
      <c r="A582" s="602"/>
      <c r="B582" s="603"/>
      <c r="C582" s="603"/>
      <c r="D582" s="187" t="s">
        <v>246</v>
      </c>
      <c r="E582" s="613"/>
      <c r="F582" s="613"/>
      <c r="G582" s="175"/>
      <c r="H582" s="182" t="s">
        <v>46</v>
      </c>
      <c r="I582" s="162"/>
      <c r="J582" s="194">
        <f t="shared" ref="J582:J583" ca="1" si="288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20.25" customHeight="1">
      <c r="A583" s="602"/>
      <c r="B583" s="603"/>
      <c r="C583" s="603"/>
      <c r="D583" s="603"/>
      <c r="E583" s="613"/>
      <c r="F583" s="613"/>
      <c r="G583" s="175"/>
      <c r="H583" s="182" t="s">
        <v>34</v>
      </c>
      <c r="I583" s="162"/>
      <c r="J583" s="194">
        <f t="shared" ca="1" si="288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20.25" customHeight="1">
      <c r="A584" s="602"/>
      <c r="B584" s="603"/>
      <c r="C584" s="603"/>
      <c r="D584" s="603"/>
      <c r="E584" s="187" t="s">
        <v>247</v>
      </c>
      <c r="F584" s="613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0)</f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20.25" customHeight="1">
      <c r="A585" s="602"/>
      <c r="B585" s="603"/>
      <c r="C585" s="603"/>
      <c r="D585" s="603"/>
      <c r="E585" s="613"/>
      <c r="F585" s="613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0)</f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20.25" customHeight="1">
      <c r="A586" s="602"/>
      <c r="B586" s="603"/>
      <c r="C586" s="603"/>
      <c r="D586" s="603"/>
      <c r="E586" s="187" t="s">
        <v>248</v>
      </c>
      <c r="F586" s="613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20.25" customHeight="1">
      <c r="A587" s="602"/>
      <c r="B587" s="603"/>
      <c r="C587" s="603"/>
      <c r="D587" s="603"/>
      <c r="E587" s="603"/>
      <c r="F587" s="613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20.25" customHeight="1">
      <c r="A588" s="602"/>
      <c r="B588" s="603"/>
      <c r="C588" s="603"/>
      <c r="D588" s="187" t="s">
        <v>249</v>
      </c>
      <c r="E588" s="613"/>
      <c r="F588" s="613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0)</f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20.25" customHeight="1">
      <c r="A589" s="602"/>
      <c r="B589" s="603"/>
      <c r="C589" s="603"/>
      <c r="D589" s="603"/>
      <c r="E589" s="603"/>
      <c r="F589" s="613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0)</f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20.25" customHeight="1">
      <c r="A590" s="602"/>
      <c r="B590" s="603"/>
      <c r="C590" s="603"/>
      <c r="D590" s="187" t="s">
        <v>250</v>
      </c>
      <c r="E590" s="613"/>
      <c r="F590" s="613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20.25" customHeight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20.25" customHeight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70">
        <f t="shared" ref="I592:J592" ca="1" si="289">I593</f>
        <v>17115</v>
      </c>
      <c r="J592" s="670">
        <f t="shared" ca="1" si="289"/>
        <v>51</v>
      </c>
      <c r="K592" s="671">
        <f t="shared" ref="K592:K594" ca="1" si="290">IF(I592&gt;0,J592*100/I592,0)</f>
        <v>0.29798422436459249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20.25" customHeight="1">
      <c r="A593" s="602"/>
      <c r="B593" s="603"/>
      <c r="C593" s="616" t="s">
        <v>252</v>
      </c>
      <c r="D593" s="603"/>
      <c r="E593" s="603"/>
      <c r="F593" s="613"/>
      <c r="G593" s="175"/>
      <c r="H593" s="192" t="s">
        <v>46</v>
      </c>
      <c r="I593" s="19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17115)</f>
        <v>17115</v>
      </c>
      <c r="J593" s="193">
        <f t="shared" ref="J593:J594" ca="1" si="291">J595+J603+J609</f>
        <v>51</v>
      </c>
      <c r="K593" s="411">
        <f t="shared" ca="1" si="290"/>
        <v>0.29798422436459249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20.25" customHeight="1">
      <c r="A594" s="602"/>
      <c r="B594" s="603"/>
      <c r="C594" s="603"/>
      <c r="D594" s="603"/>
      <c r="E594" s="613"/>
      <c r="F594" s="613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1679)</f>
        <v>1679</v>
      </c>
      <c r="J594" s="193">
        <f t="shared" ca="1" si="291"/>
        <v>13</v>
      </c>
      <c r="K594" s="411">
        <f t="shared" ca="1" si="290"/>
        <v>0.77427039904705186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20.25" customHeight="1">
      <c r="A595" s="602"/>
      <c r="B595" s="603"/>
      <c r="C595" s="612" t="s">
        <v>253</v>
      </c>
      <c r="D595" s="603"/>
      <c r="E595" s="603"/>
      <c r="F595" s="613"/>
      <c r="G595" s="175"/>
      <c r="H595" s="182" t="s">
        <v>46</v>
      </c>
      <c r="I595" s="162"/>
      <c r="J595" s="162">
        <f t="shared" ref="J595:J596" ca="1" si="292">J597+J599</f>
        <v>51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20.25" customHeight="1">
      <c r="A596" s="602"/>
      <c r="B596" s="603"/>
      <c r="C596" s="603"/>
      <c r="D596" s="603"/>
      <c r="E596" s="613"/>
      <c r="F596" s="613"/>
      <c r="G596" s="175"/>
      <c r="H596" s="182" t="s">
        <v>34</v>
      </c>
      <c r="I596" s="162"/>
      <c r="J596" s="162">
        <f t="shared" ca="1" si="292"/>
        <v>13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20.25" customHeight="1">
      <c r="A597" s="602"/>
      <c r="B597" s="603"/>
      <c r="C597" s="603"/>
      <c r="D597" s="262" t="s">
        <v>254</v>
      </c>
      <c r="E597" s="613"/>
      <c r="F597" s="613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51)</f>
        <v>51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20.25" customHeight="1">
      <c r="A598" s="602"/>
      <c r="B598" s="603"/>
      <c r="C598" s="603"/>
      <c r="D598" s="603"/>
      <c r="E598" s="613"/>
      <c r="F598" s="613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13)</f>
        <v>13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20.25" customHeight="1">
      <c r="A599" s="602"/>
      <c r="B599" s="603"/>
      <c r="C599" s="603"/>
      <c r="D599" s="262" t="s">
        <v>255</v>
      </c>
      <c r="E599" s="613"/>
      <c r="F599" s="613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20.25" customHeight="1">
      <c r="A600" s="602"/>
      <c r="B600" s="603"/>
      <c r="C600" s="603"/>
      <c r="D600" s="603"/>
      <c r="E600" s="613"/>
      <c r="F600" s="613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20.25" customHeight="1">
      <c r="A601" s="602"/>
      <c r="B601" s="603"/>
      <c r="C601" s="603"/>
      <c r="D601" s="262" t="s">
        <v>256</v>
      </c>
      <c r="E601" s="613"/>
      <c r="F601" s="613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20.25" customHeight="1">
      <c r="A602" s="602"/>
      <c r="B602" s="603"/>
      <c r="C602" s="603"/>
      <c r="D602" s="603"/>
      <c r="E602" s="613"/>
      <c r="F602" s="613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20.25" customHeight="1">
      <c r="A603" s="602"/>
      <c r="B603" s="603"/>
      <c r="C603" s="697" t="s">
        <v>257</v>
      </c>
      <c r="D603" s="603"/>
      <c r="E603" s="603"/>
      <c r="F603" s="613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20.25" customHeight="1">
      <c r="A604" s="602"/>
      <c r="B604" s="603"/>
      <c r="C604" s="603"/>
      <c r="D604" s="603"/>
      <c r="E604" s="613"/>
      <c r="F604" s="613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20.25" customHeight="1">
      <c r="A605" s="602"/>
      <c r="B605" s="603"/>
      <c r="C605" s="603"/>
      <c r="D605" s="697" t="s">
        <v>258</v>
      </c>
      <c r="E605" s="613"/>
      <c r="F605" s="613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0)</f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20.25" customHeight="1">
      <c r="A606" s="602"/>
      <c r="B606" s="603"/>
      <c r="C606" s="603"/>
      <c r="D606" s="603"/>
      <c r="E606" s="603"/>
      <c r="F606" s="613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0)</f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20.25" customHeight="1">
      <c r="A607" s="602"/>
      <c r="B607" s="603"/>
      <c r="C607" s="603"/>
      <c r="D607" s="697" t="s">
        <v>259</v>
      </c>
      <c r="E607" s="603"/>
      <c r="F607" s="613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20.25" customHeight="1">
      <c r="A608" s="602"/>
      <c r="B608" s="603"/>
      <c r="C608" s="603"/>
      <c r="D608" s="603"/>
      <c r="E608" s="613"/>
      <c r="F608" s="613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20.25" customHeight="1">
      <c r="A609" s="602"/>
      <c r="B609" s="603"/>
      <c r="C609" s="612" t="s">
        <v>260</v>
      </c>
      <c r="D609" s="603"/>
      <c r="E609" s="603"/>
      <c r="F609" s="613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0)</f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20.25" customHeight="1">
      <c r="A610" s="602"/>
      <c r="B610" s="603"/>
      <c r="C610" s="603"/>
      <c r="D610" s="603"/>
      <c r="E610" s="613"/>
      <c r="F610" s="613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0)</f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20.25" customHeight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670">
        <f>J614+J616</f>
        <v>0</v>
      </c>
      <c r="K611" s="671">
        <f t="shared" ref="K611:K613" si="294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20.25" hidden="1" customHeight="1">
      <c r="A612" s="701"/>
      <c r="B612" s="702"/>
      <c r="C612" s="703" t="s">
        <v>262</v>
      </c>
      <c r="D612" s="702"/>
      <c r="E612" s="702"/>
      <c r="F612" s="704"/>
      <c r="G612" s="705"/>
      <c r="H612" s="706" t="s">
        <v>46</v>
      </c>
      <c r="I612" s="707">
        <v>0</v>
      </c>
      <c r="J612" s="708">
        <f t="shared" ref="J612:J613" si="295">J614+J616</f>
        <v>0</v>
      </c>
      <c r="K612" s="709">
        <f t="shared" si="294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20.25" hidden="1" customHeight="1">
      <c r="A613" s="701"/>
      <c r="B613" s="702"/>
      <c r="C613" s="711" t="s">
        <v>263</v>
      </c>
      <c r="D613" s="702"/>
      <c r="E613" s="702"/>
      <c r="F613" s="704"/>
      <c r="G613" s="705"/>
      <c r="H613" s="706" t="s">
        <v>34</v>
      </c>
      <c r="I613" s="707">
        <v>0</v>
      </c>
      <c r="J613" s="708">
        <f t="shared" si="295"/>
        <v>0</v>
      </c>
      <c r="K613" s="709">
        <f t="shared" si="294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20.25" hidden="1" customHeight="1">
      <c r="A614" s="608"/>
      <c r="B614" s="609"/>
      <c r="C614" s="609"/>
      <c r="D614" s="712" t="s">
        <v>264</v>
      </c>
      <c r="E614" s="609"/>
      <c r="F614" s="595"/>
      <c r="G614" s="365"/>
      <c r="H614" s="369" t="s">
        <v>46</v>
      </c>
      <c r="I614" s="44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20.25" hidden="1" customHeight="1">
      <c r="A615" s="608"/>
      <c r="B615" s="609"/>
      <c r="C615" s="609"/>
      <c r="D615" s="609"/>
      <c r="E615" s="609"/>
      <c r="F615" s="595"/>
      <c r="G615" s="365"/>
      <c r="H615" s="369" t="s">
        <v>34</v>
      </c>
      <c r="I615" s="44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20.25" hidden="1" customHeight="1">
      <c r="A616" s="608"/>
      <c r="B616" s="609"/>
      <c r="C616" s="609"/>
      <c r="D616" s="713" t="s">
        <v>264</v>
      </c>
      <c r="E616" s="595"/>
      <c r="F616" s="595"/>
      <c r="G616" s="365"/>
      <c r="H616" s="369" t="s">
        <v>46</v>
      </c>
      <c r="I616" s="44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20.25" hidden="1" customHeight="1">
      <c r="A617" s="608"/>
      <c r="B617" s="609"/>
      <c r="C617" s="609"/>
      <c r="D617" s="609"/>
      <c r="E617" s="595"/>
      <c r="F617" s="595"/>
      <c r="G617" s="365"/>
      <c r="H617" s="369" t="s">
        <v>34</v>
      </c>
      <c r="I617" s="44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20.25" hidden="1" customHeight="1">
      <c r="A618" s="608"/>
      <c r="B618" s="609"/>
      <c r="C618" s="609"/>
      <c r="D618" s="713" t="s">
        <v>265</v>
      </c>
      <c r="E618" s="595"/>
      <c r="F618" s="595"/>
      <c r="G618" s="365"/>
      <c r="H618" s="369" t="s">
        <v>46</v>
      </c>
      <c r="I618" s="44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20.25" hidden="1" customHeight="1">
      <c r="A619" s="608"/>
      <c r="B619" s="609"/>
      <c r="C619" s="609"/>
      <c r="D619" s="609"/>
      <c r="E619" s="595"/>
      <c r="F619" s="595"/>
      <c r="G619" s="365"/>
      <c r="H619" s="369" t="s">
        <v>34</v>
      </c>
      <c r="I619" s="44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20.25" customHeight="1">
      <c r="A620" s="714"/>
      <c r="B620" s="715"/>
      <c r="C620" s="716" t="s">
        <v>266</v>
      </c>
      <c r="D620" s="715"/>
      <c r="E620" s="715"/>
      <c r="F620" s="717"/>
      <c r="G620" s="718"/>
      <c r="H620" s="719" t="s">
        <v>46</v>
      </c>
      <c r="I620" s="720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0)</f>
        <v>0</v>
      </c>
      <c r="J620" s="720">
        <f t="shared" ref="J620:J621" ca="1" si="296">J622+J624+J626</f>
        <v>0</v>
      </c>
      <c r="K620" s="721">
        <f t="shared" ref="K620:K621" ca="1" si="297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20.25" customHeight="1">
      <c r="A621" s="714"/>
      <c r="B621" s="715"/>
      <c r="C621" s="723" t="s">
        <v>267</v>
      </c>
      <c r="D621" s="715"/>
      <c r="E621" s="715"/>
      <c r="F621" s="717"/>
      <c r="G621" s="718"/>
      <c r="H621" s="719" t="s">
        <v>34</v>
      </c>
      <c r="I621" s="720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0)</f>
        <v>0</v>
      </c>
      <c r="J621" s="720">
        <f t="shared" ca="1" si="296"/>
        <v>0</v>
      </c>
      <c r="K621" s="721">
        <f t="shared" ca="1" si="297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20.25" customHeight="1">
      <c r="A622" s="602"/>
      <c r="B622" s="603"/>
      <c r="C622" s="603"/>
      <c r="D622" s="262" t="s">
        <v>268</v>
      </c>
      <c r="E622" s="613"/>
      <c r="F622" s="613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20.25" customHeight="1">
      <c r="A623" s="602"/>
      <c r="B623" s="603"/>
      <c r="C623" s="603"/>
      <c r="D623" s="603"/>
      <c r="E623" s="613"/>
      <c r="F623" s="613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20.25" customHeight="1">
      <c r="A624" s="602"/>
      <c r="B624" s="603"/>
      <c r="C624" s="603"/>
      <c r="D624" s="262" t="s">
        <v>264</v>
      </c>
      <c r="E624" s="613"/>
      <c r="F624" s="613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20.25" customHeight="1">
      <c r="A625" s="602"/>
      <c r="B625" s="603"/>
      <c r="C625" s="603"/>
      <c r="D625" s="603"/>
      <c r="E625" s="613"/>
      <c r="F625" s="613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20.25" customHeight="1">
      <c r="A626" s="602"/>
      <c r="B626" s="603"/>
      <c r="C626" s="603"/>
      <c r="D626" s="262" t="s">
        <v>269</v>
      </c>
      <c r="E626" s="613"/>
      <c r="F626" s="613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20.25" customHeight="1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20.25" customHeight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98">I651</f>
        <v>324</v>
      </c>
      <c r="J628" s="733">
        <f t="shared" ca="1" si="298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20.25" customHeight="1">
      <c r="A629" s="591"/>
      <c r="B629" s="570"/>
      <c r="C629" s="570" t="s">
        <v>16</v>
      </c>
      <c r="D629" s="840" t="s">
        <v>17</v>
      </c>
      <c r="E629" s="834"/>
      <c r="F629" s="834"/>
      <c r="G629" s="189"/>
      <c r="H629" s="592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si="299"/>
        <v>0</v>
      </c>
      <c r="N629" s="195">
        <f t="shared" ca="1" si="299"/>
        <v>126505</v>
      </c>
      <c r="O629" s="195">
        <f t="shared" ref="O629:O634" ca="1" si="300">IF(L629&gt;0,N629*100/L629,0)</f>
        <v>8.1156937842016461</v>
      </c>
      <c r="P629" s="195">
        <f t="shared" ref="P629:P634" si="301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20.25" hidden="1" customHeight="1">
      <c r="A630" s="593"/>
      <c r="B630" s="594"/>
      <c r="C630" s="594"/>
      <c r="D630" s="595"/>
      <c r="E630" s="596" t="s">
        <v>184</v>
      </c>
      <c r="F630" s="594"/>
      <c r="G630" s="597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20.25" hidden="1" customHeight="1">
      <c r="A631" s="593"/>
      <c r="B631" s="599"/>
      <c r="C631" s="594"/>
      <c r="D631" s="595"/>
      <c r="E631" s="596" t="s">
        <v>185</v>
      </c>
      <c r="F631" s="594"/>
      <c r="G631" s="597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si="303"/>
        <v>0</v>
      </c>
      <c r="N631" s="45">
        <f t="shared" ca="1" si="303"/>
        <v>126505</v>
      </c>
      <c r="O631" s="45">
        <f t="shared" ca="1" si="300"/>
        <v>8.1156937842016461</v>
      </c>
      <c r="P631" s="45">
        <f t="shared" si="301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20.25" customHeight="1">
      <c r="A632" s="591"/>
      <c r="B632" s="569"/>
      <c r="C632" s="570"/>
      <c r="D632" s="600" t="s">
        <v>20</v>
      </c>
      <c r="E632" s="570"/>
      <c r="F632" s="570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si="304"/>
        <v>0</v>
      </c>
      <c r="N632" s="38">
        <f t="shared" ca="1" si="304"/>
        <v>126505</v>
      </c>
      <c r="O632" s="38">
        <f t="shared" ca="1" si="300"/>
        <v>8.1156937842016461</v>
      </c>
      <c r="P632" s="38">
        <f t="shared" si="301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20.25" hidden="1" customHeight="1">
      <c r="A633" s="593"/>
      <c r="B633" s="599"/>
      <c r="C633" s="594"/>
      <c r="D633" s="595"/>
      <c r="E633" s="596" t="s">
        <v>184</v>
      </c>
      <c r="F633" s="594"/>
      <c r="G633" s="597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20.25" hidden="1" customHeight="1">
      <c r="A634" s="593"/>
      <c r="B634" s="599"/>
      <c r="C634" s="594"/>
      <c r="D634" s="595"/>
      <c r="E634" s="596" t="s">
        <v>185</v>
      </c>
      <c r="F634" s="594"/>
      <c r="G634" s="597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v>0</v>
      </c>
      <c r="N634" s="45">
        <f ca="1">N635+N636+N637+N638</f>
        <v>126505</v>
      </c>
      <c r="O634" s="45">
        <f t="shared" ca="1" si="300"/>
        <v>8.1156937842016461</v>
      </c>
      <c r="P634" s="45">
        <f t="shared" si="301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20.25" customHeight="1">
      <c r="A635" s="568"/>
      <c r="B635" s="569"/>
      <c r="C635" s="570"/>
      <c r="D635" s="570"/>
      <c r="E635" s="570"/>
      <c r="F635" s="571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2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20.25" customHeight="1">
      <c r="A636" s="568"/>
      <c r="B636" s="569"/>
      <c r="C636" s="570"/>
      <c r="D636" s="570"/>
      <c r="E636" s="570"/>
      <c r="F636" s="571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2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20.25" customHeight="1">
      <c r="A637" s="568"/>
      <c r="B637" s="569"/>
      <c r="C637" s="570"/>
      <c r="D637" s="570"/>
      <c r="E637" s="570"/>
      <c r="F637" s="571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2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52000)</f>
        <v>52000</v>
      </c>
      <c r="O637" s="38"/>
      <c r="P637" s="38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20.25" customHeight="1">
      <c r="A638" s="568"/>
      <c r="B638" s="569"/>
      <c r="C638" s="570"/>
      <c r="D638" s="570"/>
      <c r="E638" s="570"/>
      <c r="F638" s="571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2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74505)</f>
        <v>74505</v>
      </c>
      <c r="O638" s="38"/>
      <c r="P638" s="38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20.25" customHeight="1">
      <c r="A639" s="591"/>
      <c r="B639" s="569"/>
      <c r="C639" s="570"/>
      <c r="D639" s="600" t="s">
        <v>21</v>
      </c>
      <c r="E639" s="570"/>
      <c r="F639" s="570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20.25" hidden="1" customHeight="1">
      <c r="A640" s="593"/>
      <c r="B640" s="599"/>
      <c r="C640" s="594"/>
      <c r="D640" s="594"/>
      <c r="E640" s="596" t="s">
        <v>18</v>
      </c>
      <c r="F640" s="594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20.25" hidden="1" customHeight="1">
      <c r="A641" s="593"/>
      <c r="B641" s="599"/>
      <c r="C641" s="594"/>
      <c r="D641" s="594"/>
      <c r="E641" s="596" t="s">
        <v>19</v>
      </c>
      <c r="F641" s="594"/>
      <c r="G641" s="597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20.25" customHeight="1">
      <c r="A642" s="602"/>
      <c r="B642" s="603"/>
      <c r="C642" s="570" t="s">
        <v>16</v>
      </c>
      <c r="D642" s="673" t="s">
        <v>38</v>
      </c>
      <c r="E642" s="606"/>
      <c r="F642" s="606"/>
      <c r="G642" s="607"/>
      <c r="H642" s="175"/>
      <c r="I642" s="162"/>
      <c r="J642" s="162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20.25" customHeight="1">
      <c r="A643" s="736"/>
      <c r="B643" s="569"/>
      <c r="C643" s="570"/>
      <c r="D643" s="613"/>
      <c r="E643" s="737" t="s">
        <v>271</v>
      </c>
      <c r="F643" s="613"/>
      <c r="G643" s="175"/>
      <c r="H643" s="448" t="s">
        <v>272</v>
      </c>
      <c r="I643" s="269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0)</f>
        <v>0</v>
      </c>
      <c r="K643" s="163">
        <f t="shared" ref="K643:K652" ca="1" si="308">IF(I643&gt;0,J643*100/I643,0)</f>
        <v>0</v>
      </c>
      <c r="L643" s="163"/>
      <c r="M643" s="163"/>
      <c r="N643" s="38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20.25" customHeight="1">
      <c r="A644" s="736"/>
      <c r="B644" s="569"/>
      <c r="C644" s="570"/>
      <c r="D644" s="613"/>
      <c r="E644" s="737" t="s">
        <v>273</v>
      </c>
      <c r="F644" s="613"/>
      <c r="G644" s="175"/>
      <c r="H644" s="448" t="s">
        <v>274</v>
      </c>
      <c r="I644" s="269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20.25" customHeight="1">
      <c r="A645" s="736"/>
      <c r="B645" s="569"/>
      <c r="C645" s="570"/>
      <c r="D645" s="613"/>
      <c r="E645" s="738" t="s">
        <v>275</v>
      </c>
      <c r="F645" s="613"/>
      <c r="G645" s="175"/>
      <c r="H645" s="182" t="s">
        <v>34</v>
      </c>
      <c r="I645" s="269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5)</f>
        <v>5</v>
      </c>
      <c r="K645" s="163">
        <f t="shared" si="308"/>
        <v>0</v>
      </c>
      <c r="L645" s="163"/>
      <c r="M645" s="163"/>
      <c r="N645" s="38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20.25" customHeight="1">
      <c r="A646" s="736"/>
      <c r="B646" s="569"/>
      <c r="C646" s="570"/>
      <c r="D646" s="613"/>
      <c r="E646" s="613"/>
      <c r="F646" s="613"/>
      <c r="G646" s="175"/>
      <c r="H646" s="182" t="s">
        <v>46</v>
      </c>
      <c r="I646" s="269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1.31)</f>
        <v>1.31</v>
      </c>
      <c r="K646" s="38">
        <f t="shared" si="308"/>
        <v>0</v>
      </c>
      <c r="L646" s="163"/>
      <c r="M646" s="163"/>
      <c r="N646" s="38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20.25" customHeight="1">
      <c r="A647" s="736"/>
      <c r="B647" s="569"/>
      <c r="C647" s="570"/>
      <c r="D647" s="613"/>
      <c r="E647" s="262" t="s">
        <v>162</v>
      </c>
      <c r="F647" s="613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35)</f>
        <v>35</v>
      </c>
      <c r="K647" s="163">
        <f t="shared" ca="1" si="308"/>
        <v>10.802469135802468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20.25" customHeight="1">
      <c r="A648" s="736"/>
      <c r="B648" s="569"/>
      <c r="C648" s="570"/>
      <c r="D648" s="613"/>
      <c r="E648" s="613"/>
      <c r="F648" s="613"/>
      <c r="G648" s="175"/>
      <c r="H648" s="182" t="s">
        <v>46</v>
      </c>
      <c r="I648" s="269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8.8)</f>
        <v>8.8000000000000007</v>
      </c>
      <c r="K648" s="38">
        <f t="shared" si="308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20.25" customHeight="1">
      <c r="A649" s="736"/>
      <c r="B649" s="569"/>
      <c r="C649" s="570"/>
      <c r="D649" s="613"/>
      <c r="E649" s="262" t="s">
        <v>276</v>
      </c>
      <c r="F649" s="613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0)</f>
        <v>0</v>
      </c>
      <c r="K649" s="163">
        <f t="shared" ca="1" si="308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20.25" customHeight="1">
      <c r="A650" s="736"/>
      <c r="B650" s="569"/>
      <c r="C650" s="570"/>
      <c r="D650" s="613"/>
      <c r="E650" s="613"/>
      <c r="F650" s="613"/>
      <c r="G650" s="175"/>
      <c r="H650" s="182" t="s">
        <v>46</v>
      </c>
      <c r="I650" s="269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0)</f>
        <v>0</v>
      </c>
      <c r="K650" s="38">
        <f t="shared" si="308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20.25" customHeight="1">
      <c r="A651" s="736"/>
      <c r="B651" s="569"/>
      <c r="C651" s="570"/>
      <c r="D651" s="613"/>
      <c r="E651" s="262" t="s">
        <v>277</v>
      </c>
      <c r="F651" s="613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0)</f>
        <v>0</v>
      </c>
      <c r="K651" s="163">
        <f t="shared" ca="1" si="308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20.25" customHeight="1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382">
        <v>0</v>
      </c>
      <c r="J652" s="500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0)</f>
        <v>0</v>
      </c>
      <c r="K652" s="501">
        <f t="shared" si="308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20.25" customHeight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20.25" customHeight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670">
        <f t="shared" ref="I654:J654" ca="1" si="309">I669</f>
        <v>250</v>
      </c>
      <c r="J654" s="670">
        <f t="shared" ca="1" si="309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20.25" customHeight="1">
      <c r="A655" s="591"/>
      <c r="B655" s="570"/>
      <c r="C655" s="570" t="s">
        <v>16</v>
      </c>
      <c r="D655" s="840" t="s">
        <v>17</v>
      </c>
      <c r="E655" s="834"/>
      <c r="F655" s="834"/>
      <c r="G655" s="189"/>
      <c r="H655" s="592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si="310"/>
        <v>0</v>
      </c>
      <c r="N655" s="195">
        <f t="shared" ca="1" si="310"/>
        <v>30053.4</v>
      </c>
      <c r="O655" s="195">
        <f t="shared" ref="O655:O660" ca="1" si="311">IF(L655&gt;0,N655*100/L655,0)</f>
        <v>54.642545454545456</v>
      </c>
      <c r="P655" s="195">
        <f t="shared" ref="P655:P660" si="312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20.25" hidden="1" customHeight="1">
      <c r="A656" s="593"/>
      <c r="B656" s="594"/>
      <c r="C656" s="594"/>
      <c r="D656" s="595"/>
      <c r="E656" s="596" t="s">
        <v>184</v>
      </c>
      <c r="F656" s="594"/>
      <c r="G656" s="597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20.25" hidden="1" customHeight="1">
      <c r="A657" s="593"/>
      <c r="B657" s="599"/>
      <c r="C657" s="594"/>
      <c r="D657" s="595"/>
      <c r="E657" s="596" t="s">
        <v>185</v>
      </c>
      <c r="F657" s="594"/>
      <c r="G657" s="597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si="314"/>
        <v>0</v>
      </c>
      <c r="N657" s="45">
        <f t="shared" ca="1" si="314"/>
        <v>30053.4</v>
      </c>
      <c r="O657" s="45">
        <f t="shared" ca="1" si="311"/>
        <v>54.642545454545456</v>
      </c>
      <c r="P657" s="45">
        <f t="shared" si="312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20.25" customHeight="1">
      <c r="A658" s="591"/>
      <c r="B658" s="569"/>
      <c r="C658" s="570"/>
      <c r="D658" s="600" t="s">
        <v>20</v>
      </c>
      <c r="E658" s="570"/>
      <c r="F658" s="570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si="315"/>
        <v>0</v>
      </c>
      <c r="N658" s="38">
        <f t="shared" ca="1" si="315"/>
        <v>30053.4</v>
      </c>
      <c r="O658" s="38">
        <f t="shared" ca="1" si="311"/>
        <v>54.642545454545456</v>
      </c>
      <c r="P658" s="38">
        <f t="shared" si="312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20.25" hidden="1" customHeight="1">
      <c r="A659" s="593"/>
      <c r="B659" s="599"/>
      <c r="C659" s="594"/>
      <c r="D659" s="595"/>
      <c r="E659" s="596" t="s">
        <v>184</v>
      </c>
      <c r="F659" s="594"/>
      <c r="G659" s="597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20.25" hidden="1" customHeight="1">
      <c r="A660" s="593"/>
      <c r="B660" s="599"/>
      <c r="C660" s="594"/>
      <c r="D660" s="595"/>
      <c r="E660" s="596" t="s">
        <v>185</v>
      </c>
      <c r="F660" s="594"/>
      <c r="G660" s="597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v>0</v>
      </c>
      <c r="N660" s="45">
        <f ca="1">N661+N662+N663+N664</f>
        <v>30053.4</v>
      </c>
      <c r="O660" s="45">
        <f t="shared" ca="1" si="311"/>
        <v>54.642545454545456</v>
      </c>
      <c r="P660" s="45">
        <f t="shared" si="312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20.25" customHeight="1">
      <c r="A661" s="568"/>
      <c r="B661" s="569"/>
      <c r="C661" s="570"/>
      <c r="D661" s="570"/>
      <c r="E661" s="570"/>
      <c r="F661" s="571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2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20.25" customHeight="1">
      <c r="A662" s="568"/>
      <c r="B662" s="569"/>
      <c r="C662" s="570"/>
      <c r="D662" s="570"/>
      <c r="E662" s="570"/>
      <c r="F662" s="571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2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20.25" customHeight="1">
      <c r="A663" s="568"/>
      <c r="B663" s="569"/>
      <c r="C663" s="569"/>
      <c r="D663" s="570"/>
      <c r="E663" s="570"/>
      <c r="F663" s="571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2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20.25" customHeight="1">
      <c r="A664" s="568"/>
      <c r="B664" s="569"/>
      <c r="C664" s="569"/>
      <c r="D664" s="569"/>
      <c r="E664" s="570"/>
      <c r="F664" s="571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2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30053.4)</f>
        <v>30053.4</v>
      </c>
      <c r="O664" s="38"/>
      <c r="P664" s="38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20.25" customHeight="1">
      <c r="A665" s="591"/>
      <c r="B665" s="569"/>
      <c r="C665" s="569"/>
      <c r="D665" s="600" t="s">
        <v>21</v>
      </c>
      <c r="E665" s="570"/>
      <c r="F665" s="570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20.25" hidden="1" customHeight="1">
      <c r="A666" s="593"/>
      <c r="B666" s="599"/>
      <c r="C666" s="599"/>
      <c r="D666" s="599"/>
      <c r="E666" s="596" t="s">
        <v>18</v>
      </c>
      <c r="F666" s="594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20.25" hidden="1" customHeight="1">
      <c r="A667" s="593"/>
      <c r="B667" s="599"/>
      <c r="C667" s="599"/>
      <c r="D667" s="599"/>
      <c r="E667" s="596" t="s">
        <v>19</v>
      </c>
      <c r="F667" s="594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20.25" customHeight="1">
      <c r="A668" s="602"/>
      <c r="B668" s="603"/>
      <c r="C668" s="569" t="s">
        <v>16</v>
      </c>
      <c r="D668" s="604" t="s">
        <v>38</v>
      </c>
      <c r="E668" s="606"/>
      <c r="F668" s="606"/>
      <c r="G668" s="607"/>
      <c r="H668" s="175"/>
      <c r="I668" s="162"/>
      <c r="J668" s="162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20.25" customHeight="1">
      <c r="A669" s="602"/>
      <c r="B669" s="603"/>
      <c r="C669" s="603"/>
      <c r="D669" s="612" t="s">
        <v>280</v>
      </c>
      <c r="E669" s="613"/>
      <c r="F669" s="613"/>
      <c r="G669" s="175"/>
      <c r="H669" s="744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20.25" customHeight="1">
      <c r="A670" s="602"/>
      <c r="B670" s="603"/>
      <c r="C670" s="603"/>
      <c r="D670" s="603"/>
      <c r="E670" s="187" t="s">
        <v>281</v>
      </c>
      <c r="F670" s="613"/>
      <c r="G670" s="175"/>
      <c r="H670" s="448" t="s">
        <v>69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20)</f>
        <v>20</v>
      </c>
      <c r="K670" s="38">
        <f ca="1">IF(I670&gt;0,(J670*100)/I670,0)</f>
        <v>80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20.25" customHeight="1">
      <c r="A671" s="602"/>
      <c r="B671" s="603"/>
      <c r="C671" s="603"/>
      <c r="D671" s="603"/>
      <c r="E671" s="187" t="s">
        <v>282</v>
      </c>
      <c r="F671" s="613"/>
      <c r="G671" s="175"/>
      <c r="H671" s="448" t="s">
        <v>69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20)</f>
        <v>20</v>
      </c>
      <c r="K671" s="38">
        <f ca="1">IF(I$671&gt;0,J671*100/I$671,0)</f>
        <v>80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20.25" customHeight="1">
      <c r="A672" s="602"/>
      <c r="B672" s="603"/>
      <c r="C672" s="603"/>
      <c r="D672" s="603"/>
      <c r="E672" s="187" t="s">
        <v>283</v>
      </c>
      <c r="F672" s="613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13)</f>
        <v>13</v>
      </c>
      <c r="K672" s="38">
        <f t="shared" ref="K672:K675" ca="1" si="319">IF(I$669&gt;0,J672*100/I$669,0)</f>
        <v>5.2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20.25" customHeight="1">
      <c r="A673" s="602"/>
      <c r="B673" s="603"/>
      <c r="C673" s="603"/>
      <c r="D673" s="603"/>
      <c r="E673" s="187" t="s">
        <v>284</v>
      </c>
      <c r="F673" s="613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0)</f>
        <v>0</v>
      </c>
      <c r="K673" s="38">
        <f t="shared" ca="1" si="319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20.25" customHeight="1">
      <c r="A674" s="602"/>
      <c r="B674" s="603"/>
      <c r="C674" s="603"/>
      <c r="D674" s="603"/>
      <c r="E674" s="187" t="s">
        <v>285</v>
      </c>
      <c r="F674" s="613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20.25" customHeight="1">
      <c r="A675" s="602"/>
      <c r="B675" s="603"/>
      <c r="C675" s="603"/>
      <c r="D675" s="603"/>
      <c r="E675" s="187" t="s">
        <v>286</v>
      </c>
      <c r="F675" s="613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20.25" customHeight="1">
      <c r="A676" s="602"/>
      <c r="B676" s="603"/>
      <c r="C676" s="603"/>
      <c r="D676" s="603"/>
      <c r="E676" s="613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20.25" customHeight="1">
      <c r="A677" s="602"/>
      <c r="B677" s="603"/>
      <c r="C677" s="603"/>
      <c r="D677" s="603"/>
      <c r="E677" s="613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20.25" customHeight="1">
      <c r="A678" s="602"/>
      <c r="B678" s="603"/>
      <c r="C678" s="603"/>
      <c r="D678" s="612" t="s">
        <v>289</v>
      </c>
      <c r="E678" s="613"/>
      <c r="F678" s="613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20.25" customHeight="1">
      <c r="A679" s="602"/>
      <c r="B679" s="603"/>
      <c r="C679" s="603"/>
      <c r="D679" s="603"/>
      <c r="E679" s="187" t="s">
        <v>290</v>
      </c>
      <c r="F679" s="613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20.25" customHeight="1">
      <c r="A680" s="602"/>
      <c r="B680" s="603"/>
      <c r="C680" s="603"/>
      <c r="D680" s="603"/>
      <c r="E680" s="613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0)</f>
        <v>0</v>
      </c>
      <c r="K680" s="38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20.25" customHeight="1">
      <c r="A681" s="602"/>
      <c r="B681" s="603"/>
      <c r="C681" s="603"/>
      <c r="D681" s="603"/>
      <c r="E681" s="613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0)</f>
        <v>0</v>
      </c>
      <c r="K681" s="38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20.25" customHeight="1">
      <c r="A682" s="602"/>
      <c r="B682" s="603"/>
      <c r="C682" s="603"/>
      <c r="D682" s="603"/>
      <c r="E682" s="187" t="s">
        <v>291</v>
      </c>
      <c r="F682" s="613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20.25" customHeight="1">
      <c r="A683" s="602"/>
      <c r="B683" s="603"/>
      <c r="C683" s="603"/>
      <c r="D683" s="603"/>
      <c r="E683" s="613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20.25" customHeight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20.25" customHeight="1">
      <c r="A685" s="591"/>
      <c r="B685" s="570"/>
      <c r="C685" s="570" t="s">
        <v>16</v>
      </c>
      <c r="D685" s="840" t="s">
        <v>17</v>
      </c>
      <c r="E685" s="834"/>
      <c r="F685" s="834"/>
      <c r="G685" s="189"/>
      <c r="H685" s="592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si="320"/>
        <v>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si="322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20.25" hidden="1" customHeight="1">
      <c r="A686" s="593"/>
      <c r="B686" s="594"/>
      <c r="C686" s="594"/>
      <c r="D686" s="595"/>
      <c r="E686" s="596" t="s">
        <v>184</v>
      </c>
      <c r="F686" s="594"/>
      <c r="G686" s="597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20.25" hidden="1" customHeight="1">
      <c r="A687" s="593"/>
      <c r="B687" s="599"/>
      <c r="C687" s="594"/>
      <c r="D687" s="595"/>
      <c r="E687" s="596" t="s">
        <v>185</v>
      </c>
      <c r="F687" s="594"/>
      <c r="G687" s="597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si="324"/>
        <v>0</v>
      </c>
      <c r="N687" s="45">
        <f t="shared" ca="1" si="324"/>
        <v>2000</v>
      </c>
      <c r="O687" s="45">
        <f t="shared" ca="1" si="321"/>
        <v>3.1725888324873095</v>
      </c>
      <c r="P687" s="45">
        <f t="shared" si="322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20.25" customHeight="1">
      <c r="A688" s="591"/>
      <c r="B688" s="569"/>
      <c r="C688" s="570"/>
      <c r="D688" s="600" t="s">
        <v>20</v>
      </c>
      <c r="E688" s="570"/>
      <c r="F688" s="570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si="325"/>
        <v>0</v>
      </c>
      <c r="N688" s="38">
        <f t="shared" ca="1" si="325"/>
        <v>2000</v>
      </c>
      <c r="O688" s="38">
        <f t="shared" ca="1" si="321"/>
        <v>3.1725888324873095</v>
      </c>
      <c r="P688" s="38">
        <f t="shared" si="322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20.25" hidden="1" customHeight="1">
      <c r="A689" s="593"/>
      <c r="B689" s="599"/>
      <c r="C689" s="594"/>
      <c r="D689" s="595"/>
      <c r="E689" s="596" t="s">
        <v>184</v>
      </c>
      <c r="F689" s="594"/>
      <c r="G689" s="597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20.25" hidden="1" customHeight="1">
      <c r="A690" s="593"/>
      <c r="B690" s="599"/>
      <c r="C690" s="594"/>
      <c r="D690" s="595"/>
      <c r="E690" s="596" t="s">
        <v>185</v>
      </c>
      <c r="F690" s="594"/>
      <c r="G690" s="597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v>0</v>
      </c>
      <c r="N690" s="45">
        <f ca="1">N691+N692+N693+N694</f>
        <v>2000</v>
      </c>
      <c r="O690" s="45">
        <f ca="1">IF(L690&gt;0,N690*100/L690,0)</f>
        <v>3.1725888324873095</v>
      </c>
      <c r="P690" s="45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20.25" customHeight="1">
      <c r="A691" s="568"/>
      <c r="B691" s="569"/>
      <c r="C691" s="570"/>
      <c r="D691" s="570"/>
      <c r="E691" s="570"/>
      <c r="F691" s="571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2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20.25" customHeight="1">
      <c r="A692" s="568"/>
      <c r="B692" s="569"/>
      <c r="C692" s="570"/>
      <c r="D692" s="570"/>
      <c r="E692" s="570"/>
      <c r="F692" s="571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2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20.25" customHeight="1">
      <c r="A693" s="568"/>
      <c r="B693" s="569"/>
      <c r="C693" s="570"/>
      <c r="D693" s="570"/>
      <c r="E693" s="570"/>
      <c r="F693" s="571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2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20.25" customHeight="1">
      <c r="A694" s="568"/>
      <c r="B694" s="569"/>
      <c r="C694" s="570"/>
      <c r="D694" s="570"/>
      <c r="E694" s="570"/>
      <c r="F694" s="571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2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20.25" customHeight="1">
      <c r="A695" s="591"/>
      <c r="B695" s="569"/>
      <c r="C695" s="570"/>
      <c r="D695" s="750" t="s">
        <v>21</v>
      </c>
      <c r="E695" s="570"/>
      <c r="F695" s="570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20.25" hidden="1" customHeight="1">
      <c r="A696" s="593"/>
      <c r="B696" s="599"/>
      <c r="C696" s="594"/>
      <c r="D696" s="594"/>
      <c r="E696" s="751" t="s">
        <v>18</v>
      </c>
      <c r="F696" s="594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20.25" hidden="1" customHeight="1">
      <c r="A697" s="593"/>
      <c r="B697" s="599"/>
      <c r="C697" s="594"/>
      <c r="D697" s="594"/>
      <c r="E697" s="751" t="s">
        <v>19</v>
      </c>
      <c r="F697" s="594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20.25" customHeight="1">
      <c r="A698" s="602"/>
      <c r="B698" s="603"/>
      <c r="C698" s="570" t="s">
        <v>16</v>
      </c>
      <c r="D698" s="752" t="s">
        <v>38</v>
      </c>
      <c r="E698" s="753"/>
      <c r="F698" s="606"/>
      <c r="G698" s="607"/>
      <c r="H698" s="754"/>
      <c r="I698" s="162"/>
      <c r="J698" s="162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20.25" customHeight="1">
      <c r="A699" s="736"/>
      <c r="B699" s="570"/>
      <c r="C699" s="570"/>
      <c r="D699" s="571" t="s">
        <v>294</v>
      </c>
      <c r="E699" s="755"/>
      <c r="F699" s="570"/>
      <c r="G699" s="189"/>
      <c r="H699" s="756" t="s">
        <v>46</v>
      </c>
      <c r="I699" s="757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58"/>
      <c r="O699" s="38"/>
      <c r="P699" s="38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20.25" customHeight="1">
      <c r="A700" s="736"/>
      <c r="B700" s="570"/>
      <c r="C700" s="570"/>
      <c r="D700" s="571" t="s">
        <v>295</v>
      </c>
      <c r="E700" s="570"/>
      <c r="F700" s="570"/>
      <c r="G700" s="189"/>
      <c r="H700" s="756" t="s">
        <v>35</v>
      </c>
      <c r="I700" s="757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58"/>
      <c r="O700" s="38"/>
      <c r="P700" s="38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20.25" customHeight="1">
      <c r="A701" s="736"/>
      <c r="B701" s="570"/>
      <c r="C701" s="570"/>
      <c r="D701" s="571" t="s">
        <v>296</v>
      </c>
      <c r="E701" s="570"/>
      <c r="F701" s="570"/>
      <c r="G701" s="189"/>
      <c r="H701" s="759" t="s">
        <v>46</v>
      </c>
      <c r="I701" s="760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58"/>
      <c r="O701" s="38"/>
      <c r="P701" s="38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20.25" customHeight="1">
      <c r="A702" s="736"/>
      <c r="B702" s="570"/>
      <c r="C702" s="570"/>
      <c r="D702" s="570"/>
      <c r="E702" s="571" t="s">
        <v>297</v>
      </c>
      <c r="F702" s="570"/>
      <c r="G702" s="189"/>
      <c r="H702" s="182" t="s">
        <v>35</v>
      </c>
      <c r="I702" s="757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58"/>
      <c r="O702" s="38"/>
      <c r="P702" s="38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20.25" customHeight="1">
      <c r="A703" s="736"/>
      <c r="B703" s="570"/>
      <c r="C703" s="570"/>
      <c r="D703" s="570"/>
      <c r="E703" s="570"/>
      <c r="F703" s="570"/>
      <c r="G703" s="189"/>
      <c r="H703" s="182" t="s">
        <v>34</v>
      </c>
      <c r="I703" s="757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58"/>
      <c r="O703" s="38"/>
      <c r="P703" s="38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20.25" customHeight="1">
      <c r="A704" s="736"/>
      <c r="B704" s="570"/>
      <c r="C704" s="570"/>
      <c r="D704" s="570"/>
      <c r="E704" s="570"/>
      <c r="F704" s="570"/>
      <c r="G704" s="189"/>
      <c r="H704" s="182" t="s">
        <v>46</v>
      </c>
      <c r="I704" s="757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58"/>
      <c r="O704" s="38"/>
      <c r="P704" s="38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20.25" customHeight="1">
      <c r="A705" s="736"/>
      <c r="B705" s="570"/>
      <c r="C705" s="570"/>
      <c r="D705" s="570"/>
      <c r="E705" s="571" t="s">
        <v>298</v>
      </c>
      <c r="F705" s="570"/>
      <c r="G705" s="189"/>
      <c r="H705" s="182" t="s">
        <v>35</v>
      </c>
      <c r="I705" s="757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58"/>
      <c r="O705" s="38"/>
      <c r="P705" s="38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20.25" customHeight="1">
      <c r="A706" s="736"/>
      <c r="B706" s="570"/>
      <c r="C706" s="570"/>
      <c r="D706" s="570"/>
      <c r="E706" s="570"/>
      <c r="F706" s="570"/>
      <c r="G706" s="189"/>
      <c r="H706" s="182" t="s">
        <v>34</v>
      </c>
      <c r="I706" s="757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58"/>
      <c r="O706" s="38"/>
      <c r="P706" s="38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20.25" customHeight="1">
      <c r="A707" s="736"/>
      <c r="B707" s="570"/>
      <c r="C707" s="570"/>
      <c r="D707" s="570"/>
      <c r="E707" s="570"/>
      <c r="F707" s="570"/>
      <c r="G707" s="189"/>
      <c r="H707" s="182" t="s">
        <v>46</v>
      </c>
      <c r="I707" s="757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58"/>
      <c r="O707" s="38"/>
      <c r="P707" s="38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20.25" customHeight="1">
      <c r="A708" s="736"/>
      <c r="B708" s="570"/>
      <c r="C708" s="570"/>
      <c r="D708" s="761" t="s">
        <v>299</v>
      </c>
      <c r="E708" s="570"/>
      <c r="F708" s="570"/>
      <c r="G708" s="189"/>
      <c r="H708" s="192" t="s">
        <v>46</v>
      </c>
      <c r="I708" s="760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58"/>
      <c r="O708" s="38"/>
      <c r="P708" s="38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20.25" customHeight="1">
      <c r="A709" s="736"/>
      <c r="B709" s="570"/>
      <c r="C709" s="570"/>
      <c r="D709" s="570"/>
      <c r="E709" s="571" t="s">
        <v>300</v>
      </c>
      <c r="F709" s="570"/>
      <c r="G709" s="189"/>
      <c r="H709" s="182" t="s">
        <v>34</v>
      </c>
      <c r="I709" s="757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58"/>
      <c r="M709" s="189"/>
      <c r="N709" s="758"/>
      <c r="O709" s="38"/>
      <c r="P709" s="38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20.25" customHeight="1">
      <c r="A710" s="736"/>
      <c r="B710" s="570"/>
      <c r="C710" s="570"/>
      <c r="D710" s="570"/>
      <c r="E710" s="570"/>
      <c r="F710" s="570"/>
      <c r="G710" s="189"/>
      <c r="H710" s="182" t="s">
        <v>46</v>
      </c>
      <c r="I710" s="757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58"/>
      <c r="M710" s="189"/>
      <c r="N710" s="758"/>
      <c r="O710" s="38"/>
      <c r="P710" s="38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20.25" customHeight="1">
      <c r="A711" s="736"/>
      <c r="B711" s="570"/>
      <c r="C711" s="570"/>
      <c r="D711" s="570"/>
      <c r="E711" s="571" t="s">
        <v>301</v>
      </c>
      <c r="F711" s="570"/>
      <c r="G711" s="189"/>
      <c r="H711" s="175"/>
      <c r="I711" s="757"/>
      <c r="J711" s="37"/>
      <c r="K711" s="38"/>
      <c r="L711" s="758"/>
      <c r="M711" s="189"/>
      <c r="N711" s="758"/>
      <c r="O711" s="38"/>
      <c r="P711" s="38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20.25" customHeight="1">
      <c r="A712" s="736"/>
      <c r="B712" s="570"/>
      <c r="C712" s="570"/>
      <c r="D712" s="570"/>
      <c r="E712" s="570"/>
      <c r="F712" s="571" t="s">
        <v>302</v>
      </c>
      <c r="G712" s="189"/>
      <c r="H712" s="182" t="s">
        <v>35</v>
      </c>
      <c r="I712" s="757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58"/>
      <c r="M712" s="189"/>
      <c r="N712" s="758"/>
      <c r="O712" s="38"/>
      <c r="P712" s="38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20.25" customHeight="1">
      <c r="A713" s="736"/>
      <c r="B713" s="570"/>
      <c r="C713" s="570"/>
      <c r="D713" s="570"/>
      <c r="E713" s="570"/>
      <c r="F713" s="570"/>
      <c r="G713" s="189"/>
      <c r="H713" s="182" t="s">
        <v>34</v>
      </c>
      <c r="I713" s="757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58"/>
      <c r="M713" s="189"/>
      <c r="N713" s="758"/>
      <c r="O713" s="38"/>
      <c r="P713" s="38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20.25" customHeight="1">
      <c r="A714" s="736"/>
      <c r="B714" s="570"/>
      <c r="C714" s="570"/>
      <c r="D714" s="570"/>
      <c r="E714" s="570"/>
      <c r="F714" s="570"/>
      <c r="G714" s="189"/>
      <c r="H714" s="182" t="s">
        <v>46</v>
      </c>
      <c r="I714" s="757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58"/>
      <c r="M714" s="189"/>
      <c r="N714" s="758"/>
      <c r="O714" s="38"/>
      <c r="P714" s="38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20.25" customHeight="1">
      <c r="A715" s="736"/>
      <c r="B715" s="570"/>
      <c r="C715" s="570"/>
      <c r="D715" s="570"/>
      <c r="E715" s="570"/>
      <c r="F715" s="571" t="s">
        <v>303</v>
      </c>
      <c r="G715" s="189"/>
      <c r="H715" s="182" t="s">
        <v>35</v>
      </c>
      <c r="I715" s="757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58"/>
      <c r="M715" s="189"/>
      <c r="N715" s="758"/>
      <c r="O715" s="38"/>
      <c r="P715" s="38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20.25" customHeight="1">
      <c r="A716" s="736"/>
      <c r="B716" s="570"/>
      <c r="C716" s="570"/>
      <c r="D716" s="570"/>
      <c r="E716" s="570"/>
      <c r="F716" s="570"/>
      <c r="G716" s="189"/>
      <c r="H716" s="182" t="s">
        <v>34</v>
      </c>
      <c r="I716" s="757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58"/>
      <c r="M716" s="189"/>
      <c r="N716" s="758"/>
      <c r="O716" s="38"/>
      <c r="P716" s="38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20.25" customHeight="1">
      <c r="A717" s="736"/>
      <c r="B717" s="570"/>
      <c r="C717" s="570"/>
      <c r="D717" s="570"/>
      <c r="E717" s="570"/>
      <c r="F717" s="570"/>
      <c r="G717" s="189"/>
      <c r="H717" s="182" t="s">
        <v>46</v>
      </c>
      <c r="I717" s="757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58"/>
      <c r="M717" s="189"/>
      <c r="N717" s="758"/>
      <c r="O717" s="38"/>
      <c r="P717" s="38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20.25" customHeight="1">
      <c r="A718" s="736"/>
      <c r="B718" s="570"/>
      <c r="C718" s="570"/>
      <c r="D718" s="571" t="s">
        <v>304</v>
      </c>
      <c r="E718" s="570"/>
      <c r="F718" s="570"/>
      <c r="G718" s="189"/>
      <c r="H718" s="182" t="s">
        <v>35</v>
      </c>
      <c r="I718" s="757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58"/>
      <c r="O718" s="38"/>
      <c r="P718" s="38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20.25" customHeight="1">
      <c r="A719" s="736"/>
      <c r="B719" s="570"/>
      <c r="C719" s="570"/>
      <c r="D719" s="570"/>
      <c r="E719" s="570"/>
      <c r="F719" s="570"/>
      <c r="G719" s="189"/>
      <c r="H719" s="182" t="s">
        <v>34</v>
      </c>
      <c r="I719" s="757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58"/>
      <c r="M719" s="189"/>
      <c r="N719" s="758"/>
      <c r="O719" s="38"/>
      <c r="P719" s="38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20.25" customHeight="1">
      <c r="A720" s="736"/>
      <c r="B720" s="570"/>
      <c r="C720" s="570"/>
      <c r="D720" s="570"/>
      <c r="E720" s="570"/>
      <c r="F720" s="570"/>
      <c r="G720" s="189"/>
      <c r="H720" s="182" t="s">
        <v>46</v>
      </c>
      <c r="I720" s="757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58"/>
      <c r="M720" s="189"/>
      <c r="N720" s="758"/>
      <c r="O720" s="38"/>
      <c r="P720" s="38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20.25" customHeight="1">
      <c r="A721" s="736"/>
      <c r="B721" s="570"/>
      <c r="C721" s="570"/>
      <c r="D721" s="571" t="s">
        <v>305</v>
      </c>
      <c r="E721" s="570"/>
      <c r="F721" s="570"/>
      <c r="G721" s="189"/>
      <c r="H721" s="744" t="s">
        <v>35</v>
      </c>
      <c r="I721" s="760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58"/>
      <c r="M721" s="189"/>
      <c r="N721" s="758"/>
      <c r="O721" s="38"/>
      <c r="P721" s="38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20.25" customHeight="1">
      <c r="A722" s="736"/>
      <c r="B722" s="570"/>
      <c r="C722" s="570"/>
      <c r="D722" s="570"/>
      <c r="E722" s="571"/>
      <c r="F722" s="570"/>
      <c r="G722" s="189"/>
      <c r="H722" s="744" t="s">
        <v>46</v>
      </c>
      <c r="I722" s="760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58"/>
      <c r="O722" s="38"/>
      <c r="P722" s="38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20.25" customHeight="1">
      <c r="A723" s="736"/>
      <c r="B723" s="570"/>
      <c r="C723" s="570"/>
      <c r="D723" s="570"/>
      <c r="E723" s="571" t="s">
        <v>306</v>
      </c>
      <c r="F723" s="570"/>
      <c r="G723" s="189"/>
      <c r="H723" s="182" t="s">
        <v>35</v>
      </c>
      <c r="I723" s="757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58"/>
      <c r="O723" s="38"/>
      <c r="P723" s="38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20.25" customHeight="1">
      <c r="A724" s="736"/>
      <c r="B724" s="570"/>
      <c r="C724" s="570"/>
      <c r="D724" s="570"/>
      <c r="E724" s="570"/>
      <c r="F724" s="570"/>
      <c r="G724" s="189"/>
      <c r="H724" s="182" t="s">
        <v>34</v>
      </c>
      <c r="I724" s="757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58"/>
      <c r="M724" s="189"/>
      <c r="N724" s="758"/>
      <c r="O724" s="38"/>
      <c r="P724" s="38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20.25" customHeight="1">
      <c r="A725" s="736"/>
      <c r="B725" s="570"/>
      <c r="C725" s="570"/>
      <c r="D725" s="570"/>
      <c r="E725" s="570"/>
      <c r="F725" s="570"/>
      <c r="G725" s="189"/>
      <c r="H725" s="182" t="s">
        <v>46</v>
      </c>
      <c r="I725" s="757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58"/>
      <c r="M725" s="189"/>
      <c r="N725" s="758"/>
      <c r="O725" s="38"/>
      <c r="P725" s="38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20.25" customHeight="1">
      <c r="A726" s="736"/>
      <c r="B726" s="570"/>
      <c r="C726" s="570"/>
      <c r="D726" s="570"/>
      <c r="E726" s="571" t="s">
        <v>307</v>
      </c>
      <c r="F726" s="570"/>
      <c r="G726" s="189"/>
      <c r="H726" s="182" t="s">
        <v>35</v>
      </c>
      <c r="I726" s="757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58"/>
      <c r="O726" s="38"/>
      <c r="P726" s="38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20.25" customHeight="1">
      <c r="A727" s="736"/>
      <c r="B727" s="570"/>
      <c r="C727" s="570"/>
      <c r="D727" s="570"/>
      <c r="E727" s="570"/>
      <c r="F727" s="570"/>
      <c r="G727" s="189"/>
      <c r="H727" s="182" t="s">
        <v>34</v>
      </c>
      <c r="I727" s="757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58"/>
      <c r="M727" s="189"/>
      <c r="N727" s="758"/>
      <c r="O727" s="38"/>
      <c r="P727" s="38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20.25" customHeight="1">
      <c r="A728" s="736"/>
      <c r="B728" s="570"/>
      <c r="C728" s="570"/>
      <c r="D728" s="570"/>
      <c r="E728" s="570"/>
      <c r="F728" s="570"/>
      <c r="G728" s="189"/>
      <c r="H728" s="182" t="s">
        <v>46</v>
      </c>
      <c r="I728" s="757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58"/>
      <c r="M728" s="189"/>
      <c r="N728" s="758"/>
      <c r="O728" s="38"/>
      <c r="P728" s="38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20.25" customHeight="1">
      <c r="A729" s="736"/>
      <c r="B729" s="570"/>
      <c r="C729" s="570"/>
      <c r="D729" s="571" t="s">
        <v>308</v>
      </c>
      <c r="E729" s="570"/>
      <c r="F729" s="570"/>
      <c r="G729" s="189"/>
      <c r="H729" s="192" t="s">
        <v>46</v>
      </c>
      <c r="I729" s="760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58"/>
      <c r="O729" s="38"/>
      <c r="P729" s="38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20.25" customHeight="1">
      <c r="A730" s="736"/>
      <c r="B730" s="570"/>
      <c r="C730" s="570"/>
      <c r="D730" s="570"/>
      <c r="E730" s="571" t="s">
        <v>309</v>
      </c>
      <c r="F730" s="570"/>
      <c r="G730" s="189"/>
      <c r="H730" s="182" t="s">
        <v>35</v>
      </c>
      <c r="I730" s="757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58"/>
      <c r="M730" s="38"/>
      <c r="N730" s="758"/>
      <c r="O730" s="38"/>
      <c r="P730" s="38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20.25" customHeight="1">
      <c r="A731" s="736"/>
      <c r="B731" s="570"/>
      <c r="C731" s="570"/>
      <c r="D731" s="570"/>
      <c r="E731" s="570"/>
      <c r="F731" s="570"/>
      <c r="G731" s="189"/>
      <c r="H731" s="182" t="s">
        <v>34</v>
      </c>
      <c r="I731" s="757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58"/>
      <c r="M731" s="38"/>
      <c r="N731" s="758"/>
      <c r="O731" s="38"/>
      <c r="P731" s="38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20.25" customHeight="1">
      <c r="A732" s="736"/>
      <c r="B732" s="570"/>
      <c r="C732" s="570"/>
      <c r="D732" s="570"/>
      <c r="E732" s="570"/>
      <c r="F732" s="570"/>
      <c r="G732" s="189"/>
      <c r="H732" s="182" t="s">
        <v>46</v>
      </c>
      <c r="I732" s="757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58"/>
      <c r="M732" s="38"/>
      <c r="N732" s="758"/>
      <c r="O732" s="38"/>
      <c r="P732" s="38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20.25" customHeight="1">
      <c r="A733" s="736"/>
      <c r="B733" s="570"/>
      <c r="C733" s="570"/>
      <c r="D733" s="570"/>
      <c r="E733" s="571" t="s">
        <v>310</v>
      </c>
      <c r="F733" s="570"/>
      <c r="G733" s="189"/>
      <c r="H733" s="182" t="s">
        <v>35</v>
      </c>
      <c r="I733" s="757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58"/>
      <c r="M733" s="38"/>
      <c r="N733" s="758"/>
      <c r="O733" s="38"/>
      <c r="P733" s="38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20.25" customHeight="1">
      <c r="A734" s="736"/>
      <c r="B734" s="570"/>
      <c r="C734" s="570"/>
      <c r="D734" s="570"/>
      <c r="E734" s="570"/>
      <c r="F734" s="570"/>
      <c r="G734" s="189"/>
      <c r="H734" s="182" t="s">
        <v>34</v>
      </c>
      <c r="I734" s="757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58"/>
      <c r="M734" s="38"/>
      <c r="N734" s="758"/>
      <c r="O734" s="38"/>
      <c r="P734" s="38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20.25" customHeight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20.25" hidden="1" customHeight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20.25" hidden="1" customHeight="1">
      <c r="A737" s="593"/>
      <c r="B737" s="594"/>
      <c r="C737" s="594" t="s">
        <v>16</v>
      </c>
      <c r="D737" s="841" t="s">
        <v>17</v>
      </c>
      <c r="E737" s="834"/>
      <c r="F737" s="834"/>
      <c r="G737" s="597"/>
      <c r="H737" s="640" t="s">
        <v>12</v>
      </c>
      <c r="I737" s="44"/>
      <c r="J737" s="44"/>
      <c r="K737" s="45"/>
      <c r="L737" s="641">
        <f t="shared" ref="L737:N737" si="333">L738+L739</f>
        <v>0</v>
      </c>
      <c r="M737" s="641">
        <f t="shared" si="333"/>
        <v>0</v>
      </c>
      <c r="N737" s="641">
        <f t="shared" si="333"/>
        <v>0</v>
      </c>
      <c r="O737" s="641">
        <f t="shared" ref="O737:O742" si="334">IF(L737&gt;0,N737*100/L737,0)</f>
        <v>0</v>
      </c>
      <c r="P737" s="641">
        <f t="shared" ref="P737:P742" si="33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20.25" hidden="1" customHeight="1">
      <c r="A738" s="593"/>
      <c r="B738" s="594"/>
      <c r="C738" s="594"/>
      <c r="D738" s="595"/>
      <c r="E738" s="596" t="s">
        <v>184</v>
      </c>
      <c r="F738" s="594"/>
      <c r="G738" s="597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20.25" hidden="1" customHeight="1">
      <c r="A739" s="593"/>
      <c r="B739" s="599"/>
      <c r="C739" s="594"/>
      <c r="D739" s="595"/>
      <c r="E739" s="596" t="s">
        <v>185</v>
      </c>
      <c r="F739" s="594"/>
      <c r="G739" s="597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20.25" hidden="1" customHeight="1">
      <c r="A740" s="593"/>
      <c r="B740" s="599"/>
      <c r="C740" s="594"/>
      <c r="D740" s="774" t="s">
        <v>20</v>
      </c>
      <c r="E740" s="594"/>
      <c r="F740" s="594"/>
      <c r="G740" s="597"/>
      <c r="H740" s="640" t="s">
        <v>12</v>
      </c>
      <c r="I740" s="166"/>
      <c r="J740" s="166"/>
      <c r="K740" s="167"/>
      <c r="L740" s="641">
        <f t="shared" ref="L740:N740" si="338">L741+L742</f>
        <v>0</v>
      </c>
      <c r="M740" s="641">
        <f t="shared" si="338"/>
        <v>0</v>
      </c>
      <c r="N740" s="641">
        <f t="shared" si="338"/>
        <v>0</v>
      </c>
      <c r="O740" s="641">
        <f t="shared" si="334"/>
        <v>0</v>
      </c>
      <c r="P740" s="641">
        <f t="shared" si="33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20.25" hidden="1" customHeight="1">
      <c r="A741" s="593"/>
      <c r="B741" s="599"/>
      <c r="C741" s="594"/>
      <c r="D741" s="595"/>
      <c r="E741" s="596" t="s">
        <v>184</v>
      </c>
      <c r="F741" s="594"/>
      <c r="G741" s="597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20.25" hidden="1" customHeight="1">
      <c r="A742" s="593"/>
      <c r="B742" s="599"/>
      <c r="C742" s="594"/>
      <c r="D742" s="595"/>
      <c r="E742" s="596" t="s">
        <v>185</v>
      </c>
      <c r="F742" s="594"/>
      <c r="G742" s="597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20.25" hidden="1" customHeight="1">
      <c r="A743" s="643"/>
      <c r="B743" s="599"/>
      <c r="C743" s="594"/>
      <c r="D743" s="594"/>
      <c r="E743" s="594"/>
      <c r="F743" s="596" t="s">
        <v>186</v>
      </c>
      <c r="G743" s="597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20.25" hidden="1" customHeight="1">
      <c r="A744" s="643"/>
      <c r="B744" s="599"/>
      <c r="C744" s="594"/>
      <c r="D744" s="594"/>
      <c r="E744" s="594"/>
      <c r="F744" s="596" t="s">
        <v>187</v>
      </c>
      <c r="G744" s="597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20.25" hidden="1" customHeight="1">
      <c r="A745" s="643"/>
      <c r="B745" s="599"/>
      <c r="C745" s="594"/>
      <c r="D745" s="594"/>
      <c r="E745" s="594"/>
      <c r="F745" s="596" t="s">
        <v>188</v>
      </c>
      <c r="G745" s="597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20.25" hidden="1" customHeight="1">
      <c r="A746" s="643"/>
      <c r="B746" s="599"/>
      <c r="C746" s="594"/>
      <c r="D746" s="594"/>
      <c r="E746" s="594"/>
      <c r="F746" s="596" t="s">
        <v>189</v>
      </c>
      <c r="G746" s="597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20.25" hidden="1" customHeight="1">
      <c r="A747" s="593"/>
      <c r="B747" s="599"/>
      <c r="C747" s="594"/>
      <c r="D747" s="774" t="s">
        <v>21</v>
      </c>
      <c r="E747" s="594"/>
      <c r="F747" s="594"/>
      <c r="G747" s="597"/>
      <c r="H747" s="775" t="s">
        <v>12</v>
      </c>
      <c r="I747" s="166"/>
      <c r="J747" s="166"/>
      <c r="K747" s="167"/>
      <c r="L747" s="641">
        <f t="shared" ref="L747:N747" si="339">L748+L749</f>
        <v>0</v>
      </c>
      <c r="M747" s="641">
        <f t="shared" si="339"/>
        <v>0</v>
      </c>
      <c r="N747" s="641">
        <f t="shared" si="339"/>
        <v>0</v>
      </c>
      <c r="O747" s="641">
        <f t="shared" ref="O747:O749" si="340">IF(L747&gt;0,N747*100/L747,0)</f>
        <v>0</v>
      </c>
      <c r="P747" s="641">
        <f t="shared" ref="P747:P749" si="34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20.25" hidden="1" customHeight="1">
      <c r="A748" s="593"/>
      <c r="B748" s="599"/>
      <c r="C748" s="594"/>
      <c r="D748" s="594"/>
      <c r="E748" s="596" t="s">
        <v>18</v>
      </c>
      <c r="F748" s="594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20.25" hidden="1" customHeight="1">
      <c r="A749" s="593"/>
      <c r="B749" s="599"/>
      <c r="C749" s="594"/>
      <c r="D749" s="594"/>
      <c r="E749" s="596" t="s">
        <v>19</v>
      </c>
      <c r="F749" s="594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20.25" hidden="1" customHeight="1">
      <c r="A750" s="608"/>
      <c r="B750" s="609"/>
      <c r="C750" s="594" t="s">
        <v>16</v>
      </c>
      <c r="D750" s="776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20.25" hidden="1" customHeight="1">
      <c r="A751" s="643"/>
      <c r="B751" s="599"/>
      <c r="C751" s="594"/>
      <c r="D751" s="594"/>
      <c r="E751" s="596" t="s">
        <v>313</v>
      </c>
      <c r="F751" s="594"/>
      <c r="G751" s="597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20.25" hidden="1" customHeight="1">
      <c r="A752" s="643"/>
      <c r="B752" s="599"/>
      <c r="C752" s="594"/>
      <c r="D752" s="594"/>
      <c r="E752" s="594"/>
      <c r="F752" s="594"/>
      <c r="G752" s="597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20.25" hidden="1" customHeight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20.25" hidden="1" customHeight="1">
      <c r="A754" s="593"/>
      <c r="B754" s="594"/>
      <c r="C754" s="594" t="s">
        <v>16</v>
      </c>
      <c r="D754" s="841" t="s">
        <v>17</v>
      </c>
      <c r="E754" s="834"/>
      <c r="F754" s="834"/>
      <c r="G754" s="597"/>
      <c r="H754" s="640" t="s">
        <v>12</v>
      </c>
      <c r="I754" s="44"/>
      <c r="J754" s="44"/>
      <c r="K754" s="45"/>
      <c r="L754" s="641">
        <f t="shared" ref="L754:N754" si="342">L755+L756</f>
        <v>0</v>
      </c>
      <c r="M754" s="641">
        <f t="shared" si="342"/>
        <v>0</v>
      </c>
      <c r="N754" s="641">
        <f t="shared" si="342"/>
        <v>0</v>
      </c>
      <c r="O754" s="641">
        <f t="shared" ref="O754:O759" si="343">IF(L754&gt;0,N754*100/L754,0)</f>
        <v>0</v>
      </c>
      <c r="P754" s="641">
        <f t="shared" ref="P754:P759" si="34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20.25" hidden="1" customHeight="1">
      <c r="A755" s="593"/>
      <c r="B755" s="594"/>
      <c r="C755" s="594"/>
      <c r="D755" s="595"/>
      <c r="E755" s="596" t="s">
        <v>184</v>
      </c>
      <c r="F755" s="594"/>
      <c r="G755" s="597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20.25" hidden="1" customHeight="1">
      <c r="A756" s="593"/>
      <c r="B756" s="599"/>
      <c r="C756" s="594"/>
      <c r="D756" s="595"/>
      <c r="E756" s="596" t="s">
        <v>185</v>
      </c>
      <c r="F756" s="594"/>
      <c r="G756" s="597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20.25" hidden="1" customHeight="1">
      <c r="A757" s="593"/>
      <c r="B757" s="599"/>
      <c r="C757" s="594"/>
      <c r="D757" s="774" t="s">
        <v>20</v>
      </c>
      <c r="E757" s="594"/>
      <c r="F757" s="594"/>
      <c r="G757" s="597"/>
      <c r="H757" s="640" t="s">
        <v>12</v>
      </c>
      <c r="I757" s="166"/>
      <c r="J757" s="166"/>
      <c r="K757" s="167"/>
      <c r="L757" s="641">
        <f t="shared" ref="L757:N757" si="347">L758+L759</f>
        <v>0</v>
      </c>
      <c r="M757" s="641">
        <f t="shared" si="347"/>
        <v>0</v>
      </c>
      <c r="N757" s="641">
        <f t="shared" si="347"/>
        <v>0</v>
      </c>
      <c r="O757" s="641">
        <f t="shared" si="343"/>
        <v>0</v>
      </c>
      <c r="P757" s="641">
        <f t="shared" si="34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20.25" hidden="1" customHeight="1">
      <c r="A758" s="593"/>
      <c r="B758" s="599"/>
      <c r="C758" s="594"/>
      <c r="D758" s="595"/>
      <c r="E758" s="596" t="s">
        <v>184</v>
      </c>
      <c r="F758" s="594"/>
      <c r="G758" s="597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20.25" hidden="1" customHeight="1">
      <c r="A759" s="593"/>
      <c r="B759" s="599"/>
      <c r="C759" s="594"/>
      <c r="D759" s="595"/>
      <c r="E759" s="596" t="s">
        <v>185</v>
      </c>
      <c r="F759" s="594"/>
      <c r="G759" s="597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20.25" hidden="1" customHeight="1">
      <c r="A760" s="643"/>
      <c r="B760" s="599"/>
      <c r="C760" s="594"/>
      <c r="D760" s="594"/>
      <c r="E760" s="594"/>
      <c r="F760" s="596" t="s">
        <v>186</v>
      </c>
      <c r="G760" s="597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20.25" hidden="1" customHeight="1">
      <c r="A761" s="643"/>
      <c r="B761" s="599"/>
      <c r="C761" s="594"/>
      <c r="D761" s="594"/>
      <c r="E761" s="594"/>
      <c r="F761" s="596" t="s">
        <v>187</v>
      </c>
      <c r="G761" s="597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20.25" hidden="1" customHeight="1">
      <c r="A762" s="643"/>
      <c r="B762" s="599"/>
      <c r="C762" s="594"/>
      <c r="D762" s="594"/>
      <c r="E762" s="594"/>
      <c r="F762" s="596" t="s">
        <v>188</v>
      </c>
      <c r="G762" s="597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20.25" hidden="1" customHeight="1">
      <c r="A763" s="643"/>
      <c r="B763" s="599"/>
      <c r="C763" s="594"/>
      <c r="D763" s="594"/>
      <c r="E763" s="594"/>
      <c r="F763" s="596" t="s">
        <v>189</v>
      </c>
      <c r="G763" s="597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20.25" hidden="1" customHeight="1">
      <c r="A764" s="593"/>
      <c r="B764" s="599"/>
      <c r="C764" s="594"/>
      <c r="D764" s="774" t="s">
        <v>21</v>
      </c>
      <c r="E764" s="594"/>
      <c r="F764" s="594"/>
      <c r="G764" s="597"/>
      <c r="H764" s="775" t="s">
        <v>12</v>
      </c>
      <c r="I764" s="166"/>
      <c r="J764" s="166"/>
      <c r="K764" s="167"/>
      <c r="L764" s="641">
        <f t="shared" ref="L764:N764" si="348">L765+L766</f>
        <v>0</v>
      </c>
      <c r="M764" s="641">
        <f t="shared" si="348"/>
        <v>0</v>
      </c>
      <c r="N764" s="641">
        <f t="shared" si="348"/>
        <v>0</v>
      </c>
      <c r="O764" s="641">
        <f t="shared" ref="O764:O766" si="349">IF(L764&gt;0,N764*100/L764,0)</f>
        <v>0</v>
      </c>
      <c r="P764" s="641">
        <f t="shared" ref="P764:P766" si="350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20.25" hidden="1" customHeight="1">
      <c r="A765" s="593"/>
      <c r="B765" s="599"/>
      <c r="C765" s="594"/>
      <c r="D765" s="594"/>
      <c r="E765" s="596" t="s">
        <v>18</v>
      </c>
      <c r="F765" s="594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20.25" hidden="1" customHeight="1">
      <c r="A766" s="593"/>
      <c r="B766" s="599"/>
      <c r="C766" s="594"/>
      <c r="D766" s="594"/>
      <c r="E766" s="596" t="s">
        <v>19</v>
      </c>
      <c r="F766" s="594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20.25" hidden="1" customHeight="1">
      <c r="A767" s="608"/>
      <c r="B767" s="609"/>
      <c r="C767" s="594" t="s">
        <v>16</v>
      </c>
      <c r="D767" s="776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20.25" hidden="1" customHeight="1">
      <c r="A768" s="643"/>
      <c r="B768" s="599"/>
      <c r="C768" s="594"/>
      <c r="D768" s="594"/>
      <c r="E768" s="596" t="s">
        <v>316</v>
      </c>
      <c r="F768" s="594"/>
      <c r="G768" s="597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20.25" hidden="1" customHeight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20.25" hidden="1" customHeight="1">
      <c r="A770" s="593"/>
      <c r="B770" s="594"/>
      <c r="C770" s="594" t="s">
        <v>16</v>
      </c>
      <c r="D770" s="841" t="s">
        <v>17</v>
      </c>
      <c r="E770" s="834"/>
      <c r="F770" s="834"/>
      <c r="G770" s="597"/>
      <c r="H770" s="640" t="s">
        <v>12</v>
      </c>
      <c r="I770" s="44"/>
      <c r="J770" s="44"/>
      <c r="K770" s="45"/>
      <c r="L770" s="641">
        <f t="shared" ref="L770:N770" si="351">L771+L772</f>
        <v>0</v>
      </c>
      <c r="M770" s="641">
        <f t="shared" si="351"/>
        <v>0</v>
      </c>
      <c r="N770" s="641">
        <f t="shared" si="351"/>
        <v>0</v>
      </c>
      <c r="O770" s="641">
        <f t="shared" ref="O770:O775" si="352">IF(L770&gt;0,N770*100/L770,0)</f>
        <v>0</v>
      </c>
      <c r="P770" s="641">
        <f t="shared" ref="P770:P775" si="353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20.25" hidden="1" customHeight="1">
      <c r="A771" s="593"/>
      <c r="B771" s="594"/>
      <c r="C771" s="594"/>
      <c r="D771" s="595"/>
      <c r="E771" s="596" t="s">
        <v>184</v>
      </c>
      <c r="F771" s="594"/>
      <c r="G771" s="597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20.25" hidden="1" customHeight="1">
      <c r="A772" s="593"/>
      <c r="B772" s="599"/>
      <c r="C772" s="594"/>
      <c r="D772" s="595"/>
      <c r="E772" s="596" t="s">
        <v>185</v>
      </c>
      <c r="F772" s="594"/>
      <c r="G772" s="597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20.25" hidden="1" customHeight="1">
      <c r="A773" s="593"/>
      <c r="B773" s="599"/>
      <c r="C773" s="594"/>
      <c r="D773" s="774" t="s">
        <v>20</v>
      </c>
      <c r="E773" s="594"/>
      <c r="F773" s="594"/>
      <c r="G773" s="597"/>
      <c r="H773" s="640" t="s">
        <v>12</v>
      </c>
      <c r="I773" s="166"/>
      <c r="J773" s="166"/>
      <c r="K773" s="167"/>
      <c r="L773" s="641">
        <f t="shared" ref="L773:N773" si="356">L774+L775</f>
        <v>0</v>
      </c>
      <c r="M773" s="641">
        <f t="shared" si="356"/>
        <v>0</v>
      </c>
      <c r="N773" s="641">
        <f t="shared" si="356"/>
        <v>0</v>
      </c>
      <c r="O773" s="641">
        <f t="shared" si="352"/>
        <v>0</v>
      </c>
      <c r="P773" s="641">
        <f t="shared" si="353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20.25" hidden="1" customHeight="1">
      <c r="A774" s="593"/>
      <c r="B774" s="599"/>
      <c r="C774" s="594"/>
      <c r="D774" s="595"/>
      <c r="E774" s="596" t="s">
        <v>184</v>
      </c>
      <c r="F774" s="594"/>
      <c r="G774" s="597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20.25" hidden="1" customHeight="1">
      <c r="A775" s="593"/>
      <c r="B775" s="599"/>
      <c r="C775" s="594"/>
      <c r="D775" s="595"/>
      <c r="E775" s="596" t="s">
        <v>185</v>
      </c>
      <c r="F775" s="594"/>
      <c r="G775" s="597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20.25" hidden="1" customHeight="1">
      <c r="A776" s="643"/>
      <c r="B776" s="599"/>
      <c r="C776" s="594"/>
      <c r="D776" s="594"/>
      <c r="E776" s="594"/>
      <c r="F776" s="596" t="s">
        <v>186</v>
      </c>
      <c r="G776" s="597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20.25" hidden="1" customHeight="1">
      <c r="A777" s="643"/>
      <c r="B777" s="599"/>
      <c r="C777" s="594"/>
      <c r="D777" s="594"/>
      <c r="E777" s="594"/>
      <c r="F777" s="596" t="s">
        <v>187</v>
      </c>
      <c r="G777" s="597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20.25" hidden="1" customHeight="1">
      <c r="A778" s="643"/>
      <c r="B778" s="599"/>
      <c r="C778" s="594"/>
      <c r="D778" s="594"/>
      <c r="E778" s="594"/>
      <c r="F778" s="596" t="s">
        <v>188</v>
      </c>
      <c r="G778" s="597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20.25" hidden="1" customHeight="1">
      <c r="A779" s="643"/>
      <c r="B779" s="599"/>
      <c r="C779" s="594"/>
      <c r="D779" s="594"/>
      <c r="E779" s="594"/>
      <c r="F779" s="596" t="s">
        <v>189</v>
      </c>
      <c r="G779" s="597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20.25" hidden="1" customHeight="1">
      <c r="A780" s="593"/>
      <c r="B780" s="599"/>
      <c r="C780" s="594"/>
      <c r="D780" s="774" t="s">
        <v>21</v>
      </c>
      <c r="E780" s="594"/>
      <c r="F780" s="594"/>
      <c r="G780" s="597"/>
      <c r="H780" s="775" t="s">
        <v>12</v>
      </c>
      <c r="I780" s="166"/>
      <c r="J780" s="166"/>
      <c r="K780" s="167"/>
      <c r="L780" s="641">
        <f t="shared" ref="L780:N780" si="357">L781+L782</f>
        <v>0</v>
      </c>
      <c r="M780" s="641">
        <f t="shared" si="357"/>
        <v>0</v>
      </c>
      <c r="N780" s="641">
        <f t="shared" si="357"/>
        <v>0</v>
      </c>
      <c r="O780" s="641">
        <f t="shared" ref="O780:O782" si="358">IF(L780&gt;0,N780*100/L780,0)</f>
        <v>0</v>
      </c>
      <c r="P780" s="641">
        <f t="shared" ref="P780:P782" si="359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20.25" hidden="1" customHeight="1">
      <c r="A781" s="593"/>
      <c r="B781" s="599"/>
      <c r="C781" s="594"/>
      <c r="D781" s="594"/>
      <c r="E781" s="596" t="s">
        <v>18</v>
      </c>
      <c r="F781" s="594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20.25" hidden="1" customHeight="1">
      <c r="A782" s="593"/>
      <c r="B782" s="599"/>
      <c r="C782" s="594"/>
      <c r="D782" s="594"/>
      <c r="E782" s="596" t="s">
        <v>19</v>
      </c>
      <c r="F782" s="594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20.25" hidden="1" customHeight="1">
      <c r="A783" s="608"/>
      <c r="B783" s="609"/>
      <c r="C783" s="594" t="s">
        <v>16</v>
      </c>
      <c r="D783" s="776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20.25" hidden="1" customHeight="1">
      <c r="A784" s="643"/>
      <c r="B784" s="599"/>
      <c r="C784" s="594"/>
      <c r="D784" s="594"/>
      <c r="E784" s="596" t="s">
        <v>318</v>
      </c>
      <c r="F784" s="594"/>
      <c r="G784" s="597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20.25" customHeight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60">I800</f>
        <v>0</v>
      </c>
      <c r="J785" s="800">
        <f t="shared" ca="1" si="360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20.25" customHeight="1">
      <c r="A786" s="591"/>
      <c r="B786" s="569"/>
      <c r="C786" s="570" t="s">
        <v>16</v>
      </c>
      <c r="D786" s="840" t="s">
        <v>17</v>
      </c>
      <c r="E786" s="834"/>
      <c r="F786" s="834"/>
      <c r="G786" s="189"/>
      <c r="H786" s="592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20.25" hidden="1" customHeight="1">
      <c r="A787" s="593"/>
      <c r="B787" s="599"/>
      <c r="C787" s="594"/>
      <c r="D787" s="595"/>
      <c r="E787" s="596" t="s">
        <v>184</v>
      </c>
      <c r="F787" s="594"/>
      <c r="G787" s="597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20.25" hidden="1" customHeight="1">
      <c r="A788" s="593"/>
      <c r="B788" s="599"/>
      <c r="C788" s="599"/>
      <c r="D788" s="609"/>
      <c r="E788" s="596" t="s">
        <v>185</v>
      </c>
      <c r="F788" s="594"/>
      <c r="G788" s="597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20.25" customHeight="1">
      <c r="A789" s="591"/>
      <c r="B789" s="569"/>
      <c r="C789" s="569"/>
      <c r="D789" s="600" t="s">
        <v>20</v>
      </c>
      <c r="E789" s="570"/>
      <c r="F789" s="570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20.25" hidden="1" customHeight="1">
      <c r="A790" s="593"/>
      <c r="B790" s="599"/>
      <c r="C790" s="599"/>
      <c r="D790" s="609"/>
      <c r="E790" s="596" t="s">
        <v>184</v>
      </c>
      <c r="F790" s="594"/>
      <c r="G790" s="597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20.25" hidden="1" customHeight="1">
      <c r="A791" s="593"/>
      <c r="B791" s="599"/>
      <c r="C791" s="599"/>
      <c r="D791" s="609"/>
      <c r="E791" s="596" t="s">
        <v>185</v>
      </c>
      <c r="F791" s="594"/>
      <c r="G791" s="597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20.25" customHeight="1">
      <c r="A792" s="568"/>
      <c r="B792" s="569"/>
      <c r="C792" s="570"/>
      <c r="D792" s="570"/>
      <c r="E792" s="570"/>
      <c r="F792" s="571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2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20.25" customHeight="1">
      <c r="A793" s="568"/>
      <c r="B793" s="569"/>
      <c r="C793" s="570"/>
      <c r="D793" s="570"/>
      <c r="E793" s="570"/>
      <c r="F793" s="571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2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20.25" customHeight="1">
      <c r="A794" s="568"/>
      <c r="B794" s="569"/>
      <c r="C794" s="570"/>
      <c r="D794" s="570"/>
      <c r="E794" s="570"/>
      <c r="F794" s="571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2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20.25" customHeight="1">
      <c r="A795" s="568"/>
      <c r="B795" s="569"/>
      <c r="C795" s="570"/>
      <c r="D795" s="570"/>
      <c r="E795" s="570"/>
      <c r="F795" s="571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2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20.25" customHeight="1">
      <c r="A796" s="591"/>
      <c r="B796" s="569"/>
      <c r="C796" s="570"/>
      <c r="D796" s="600" t="s">
        <v>21</v>
      </c>
      <c r="E796" s="570"/>
      <c r="F796" s="570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20.25" hidden="1" customHeight="1">
      <c r="A797" s="593"/>
      <c r="B797" s="599"/>
      <c r="C797" s="594"/>
      <c r="D797" s="594"/>
      <c r="E797" s="596" t="s">
        <v>18</v>
      </c>
      <c r="F797" s="594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20.25" hidden="1" customHeight="1">
      <c r="A798" s="593"/>
      <c r="B798" s="599"/>
      <c r="C798" s="594"/>
      <c r="D798" s="594"/>
      <c r="E798" s="596" t="s">
        <v>19</v>
      </c>
      <c r="F798" s="594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20.25" customHeight="1">
      <c r="A799" s="602"/>
      <c r="B799" s="603"/>
      <c r="C799" s="570" t="s">
        <v>16</v>
      </c>
      <c r="D799" s="752" t="s">
        <v>38</v>
      </c>
      <c r="E799" s="606"/>
      <c r="F799" s="606"/>
      <c r="G799" s="607"/>
      <c r="H799" s="803"/>
      <c r="I799" s="162"/>
      <c r="J799" s="162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20.25" customHeight="1">
      <c r="A800" s="602"/>
      <c r="B800" s="603"/>
      <c r="C800" s="603"/>
      <c r="D800" s="603"/>
      <c r="E800" s="613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20.25" customHeight="1">
      <c r="A801" s="602"/>
      <c r="B801" s="603"/>
      <c r="C801" s="603"/>
      <c r="D801" s="603"/>
      <c r="E801" s="613"/>
      <c r="F801" s="613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20.25" hidden="1" customHeight="1">
      <c r="A802" s="608"/>
      <c r="B802" s="609"/>
      <c r="C802" s="609"/>
      <c r="D802" s="609"/>
      <c r="E802" s="595"/>
      <c r="F802" s="712" t="s">
        <v>321</v>
      </c>
      <c r="G802" s="365"/>
      <c r="H802" s="647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20.25" hidden="1" customHeight="1">
      <c r="A803" s="608"/>
      <c r="B803" s="609"/>
      <c r="C803" s="609"/>
      <c r="D803" s="609"/>
      <c r="E803" s="595"/>
      <c r="F803" s="595"/>
      <c r="G803" s="365"/>
      <c r="H803" s="647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20.25" hidden="1" customHeight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20.25" hidden="1" customHeight="1">
      <c r="A805" s="593"/>
      <c r="B805" s="594"/>
      <c r="C805" s="594" t="s">
        <v>16</v>
      </c>
      <c r="D805" s="841" t="s">
        <v>17</v>
      </c>
      <c r="E805" s="834"/>
      <c r="F805" s="834"/>
      <c r="G805" s="597"/>
      <c r="H805" s="640" t="s">
        <v>12</v>
      </c>
      <c r="I805" s="44"/>
      <c r="J805" s="44"/>
      <c r="K805" s="45"/>
      <c r="L805" s="641">
        <f t="shared" ref="L805:N805" si="370">L806+L807</f>
        <v>0</v>
      </c>
      <c r="M805" s="641">
        <f t="shared" si="370"/>
        <v>0</v>
      </c>
      <c r="N805" s="641">
        <f t="shared" si="370"/>
        <v>0</v>
      </c>
      <c r="O805" s="641">
        <f t="shared" ref="O805:O810" si="371">IF(L805&gt;0,N805*100/L805,0)</f>
        <v>0</v>
      </c>
      <c r="P805" s="641">
        <f t="shared" ref="P805:P810" si="372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20.25" hidden="1" customHeight="1">
      <c r="A806" s="593"/>
      <c r="B806" s="594"/>
      <c r="C806" s="594"/>
      <c r="D806" s="609"/>
      <c r="E806" s="596" t="s">
        <v>184</v>
      </c>
      <c r="F806" s="594"/>
      <c r="G806" s="597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20.25" hidden="1" customHeight="1">
      <c r="A807" s="593"/>
      <c r="B807" s="594"/>
      <c r="C807" s="594"/>
      <c r="D807" s="609"/>
      <c r="E807" s="596" t="s">
        <v>185</v>
      </c>
      <c r="F807" s="594"/>
      <c r="G807" s="597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20.25" hidden="1" customHeight="1">
      <c r="A808" s="593"/>
      <c r="B808" s="599"/>
      <c r="C808" s="594"/>
      <c r="D808" s="843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75">L809+L810</f>
        <v>0</v>
      </c>
      <c r="M808" s="641">
        <f t="shared" si="375"/>
        <v>0</v>
      </c>
      <c r="N808" s="641">
        <f t="shared" si="375"/>
        <v>0</v>
      </c>
      <c r="O808" s="641">
        <f t="shared" si="371"/>
        <v>0</v>
      </c>
      <c r="P808" s="641">
        <f t="shared" si="372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20.25" hidden="1" customHeight="1">
      <c r="A809" s="593"/>
      <c r="B809" s="594"/>
      <c r="C809" s="594"/>
      <c r="D809" s="609"/>
      <c r="E809" s="596" t="s">
        <v>184</v>
      </c>
      <c r="F809" s="594"/>
      <c r="G809" s="597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20.25" hidden="1" customHeight="1">
      <c r="A810" s="593"/>
      <c r="B810" s="594"/>
      <c r="C810" s="594"/>
      <c r="D810" s="609"/>
      <c r="E810" s="596" t="s">
        <v>185</v>
      </c>
      <c r="F810" s="594"/>
      <c r="G810" s="597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20.25" hidden="1" customHeight="1">
      <c r="A811" s="643"/>
      <c r="B811" s="599"/>
      <c r="C811" s="594"/>
      <c r="D811" s="599"/>
      <c r="E811" s="594"/>
      <c r="F811" s="596" t="s">
        <v>186</v>
      </c>
      <c r="G811" s="597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20.25" hidden="1" customHeight="1">
      <c r="A812" s="643"/>
      <c r="B812" s="599"/>
      <c r="C812" s="594"/>
      <c r="D812" s="599"/>
      <c r="E812" s="594"/>
      <c r="F812" s="596" t="s">
        <v>187</v>
      </c>
      <c r="G812" s="597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20.25" hidden="1" customHeight="1">
      <c r="A813" s="643"/>
      <c r="B813" s="599"/>
      <c r="C813" s="594"/>
      <c r="D813" s="599"/>
      <c r="E813" s="594"/>
      <c r="F813" s="596" t="s">
        <v>188</v>
      </c>
      <c r="G813" s="597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20.25" hidden="1" customHeight="1">
      <c r="A814" s="643"/>
      <c r="B814" s="599"/>
      <c r="C814" s="594"/>
      <c r="D814" s="599"/>
      <c r="E814" s="594"/>
      <c r="F814" s="596" t="s">
        <v>189</v>
      </c>
      <c r="G814" s="597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20.25" hidden="1" customHeight="1">
      <c r="A815" s="593"/>
      <c r="B815" s="599"/>
      <c r="C815" s="594"/>
      <c r="D815" s="843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76">L816+L817</f>
        <v>0</v>
      </c>
      <c r="M815" s="641">
        <f t="shared" si="376"/>
        <v>0</v>
      </c>
      <c r="N815" s="641">
        <f t="shared" si="376"/>
        <v>0</v>
      </c>
      <c r="O815" s="641">
        <f t="shared" ref="O815:O817" si="377">IF(L815&gt;0,N815*100/L815,0)</f>
        <v>0</v>
      </c>
      <c r="P815" s="641">
        <f t="shared" ref="P815:P817" si="378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20.25" hidden="1" customHeight="1">
      <c r="A816" s="593"/>
      <c r="B816" s="599"/>
      <c r="C816" s="594"/>
      <c r="D816" s="599"/>
      <c r="E816" s="596" t="s">
        <v>18</v>
      </c>
      <c r="F816" s="594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20.25" hidden="1" customHeight="1">
      <c r="A817" s="593"/>
      <c r="B817" s="599"/>
      <c r="C817" s="594"/>
      <c r="D817" s="599"/>
      <c r="E817" s="596" t="s">
        <v>19</v>
      </c>
      <c r="F817" s="594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20.25" hidden="1" customHeight="1">
      <c r="A818" s="608"/>
      <c r="B818" s="609"/>
      <c r="C818" s="594" t="s">
        <v>16</v>
      </c>
      <c r="D818" s="805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20.25" hidden="1" customHeight="1">
      <c r="A819" s="806"/>
      <c r="B819" s="807"/>
      <c r="C819" s="808"/>
      <c r="D819" s="807"/>
      <c r="E819" s="809" t="s">
        <v>323</v>
      </c>
      <c r="F819" s="808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20.25" customHeight="1">
      <c r="A820" s="814" t="s">
        <v>324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20.25" customHeight="1">
      <c r="A821" s="736"/>
      <c r="B821" s="571" t="s">
        <v>325</v>
      </c>
      <c r="C821" s="570"/>
      <c r="D821" s="569"/>
      <c r="E821" s="570"/>
      <c r="F821" s="570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20258486.88)</f>
        <v>20258486.879999999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380792.83)</f>
        <v>380792.83</v>
      </c>
      <c r="K821" s="38">
        <f t="shared" ref="K821:K828" ca="1" si="379">IF(I821&gt;0,J821*100/I821,0)</f>
        <v>1.8796706400414047</v>
      </c>
      <c r="L821" s="38"/>
      <c r="M821" s="38"/>
      <c r="N821" s="38"/>
      <c r="O821" s="38"/>
      <c r="P821" s="38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20.25" customHeight="1">
      <c r="A822" s="736"/>
      <c r="B822" s="570"/>
      <c r="C822" s="570"/>
      <c r="D822" s="569"/>
      <c r="E822" s="570"/>
      <c r="F822" s="570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1504)</f>
        <v>1504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40)</f>
        <v>40</v>
      </c>
      <c r="K822" s="38">
        <f t="shared" ca="1" si="379"/>
        <v>2.6595744680851063</v>
      </c>
      <c r="L822" s="38"/>
      <c r="M822" s="38"/>
      <c r="N822" s="38"/>
      <c r="O822" s="38"/>
      <c r="P822" s="38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20.25" customHeight="1">
      <c r="A823" s="736"/>
      <c r="B823" s="571" t="s">
        <v>326</v>
      </c>
      <c r="C823" s="570"/>
      <c r="D823" s="569"/>
      <c r="E823" s="570"/>
      <c r="F823" s="570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14280910.4)</f>
        <v>14280910.4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655454.04)</f>
        <v>655454.04</v>
      </c>
      <c r="K823" s="38">
        <f t="shared" ca="1" si="379"/>
        <v>4.5897216748870573</v>
      </c>
      <c r="L823" s="38"/>
      <c r="M823" s="38"/>
      <c r="N823" s="38"/>
      <c r="O823" s="38"/>
      <c r="P823" s="38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20.25" customHeight="1">
      <c r="A824" s="736"/>
      <c r="B824" s="570"/>
      <c r="C824" s="570"/>
      <c r="D824" s="569"/>
      <c r="E824" s="570"/>
      <c r="F824" s="570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685)</f>
        <v>685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259)</f>
        <v>259</v>
      </c>
      <c r="K824" s="38">
        <f t="shared" ca="1" si="379"/>
        <v>37.810218978102192</v>
      </c>
      <c r="L824" s="38"/>
      <c r="M824" s="38"/>
      <c r="N824" s="38"/>
      <c r="O824" s="38"/>
      <c r="P824" s="38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20.25" customHeight="1">
      <c r="A825" s="736"/>
      <c r="B825" s="571" t="s">
        <v>327</v>
      </c>
      <c r="C825" s="570"/>
      <c r="D825" s="569"/>
      <c r="E825" s="570"/>
      <c r="F825" s="570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187443.11)</f>
        <v>187443.11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10377.34)</f>
        <v>10377.34</v>
      </c>
      <c r="K825" s="38">
        <f t="shared" ca="1" si="379"/>
        <v>5.5362611087705496</v>
      </c>
      <c r="L825" s="38"/>
      <c r="M825" s="38"/>
      <c r="N825" s="38"/>
      <c r="O825" s="38"/>
      <c r="P825" s="38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20.25" customHeight="1">
      <c r="A826" s="736"/>
      <c r="B826" s="570"/>
      <c r="C826" s="570"/>
      <c r="D826" s="569"/>
      <c r="E826" s="570"/>
      <c r="F826" s="570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420)</f>
        <v>420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31)</f>
        <v>31</v>
      </c>
      <c r="K826" s="38">
        <f t="shared" ca="1" si="379"/>
        <v>7.3809523809523814</v>
      </c>
      <c r="L826" s="38"/>
      <c r="M826" s="38"/>
      <c r="N826" s="38"/>
      <c r="O826" s="38"/>
      <c r="P826" s="38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20.25" customHeight="1">
      <c r="A827" s="736"/>
      <c r="B827" s="571" t="s">
        <v>328</v>
      </c>
      <c r="C827" s="570"/>
      <c r="D827" s="569"/>
      <c r="E827" s="570"/>
      <c r="F827" s="570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620000)</f>
        <v>620000</v>
      </c>
      <c r="K827" s="38">
        <f t="shared" ca="1" si="379"/>
        <v>4.395604395604396</v>
      </c>
      <c r="L827" s="38"/>
      <c r="M827" s="38"/>
      <c r="N827" s="38"/>
      <c r="O827" s="38"/>
      <c r="P827" s="38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20.25" customHeight="1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0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25)</f>
        <v>25</v>
      </c>
      <c r="K828" s="501">
        <f t="shared" ca="1" si="379"/>
        <v>4.5537340619307836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 gridLines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CD482-89B3-4011-9371-D9C22AABFA5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2.5703125" bestFit="1" customWidth="1"/>
    <col min="11" max="11" width="12.5703125" customWidth="1"/>
    <col min="12" max="12" width="21.28515625" bestFit="1" customWidth="1"/>
    <col min="13" max="14" width="18.710937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346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2175628</v>
      </c>
      <c r="M8" s="22">
        <f t="shared" ca="1" si="0"/>
        <v>991355</v>
      </c>
      <c r="N8" s="22">
        <f t="shared" ca="1" si="0"/>
        <v>517691.45</v>
      </c>
      <c r="O8" s="22">
        <f t="shared" ref="O8:O16" ca="1" si="1">IF(L8&gt;0,N8*100/L8,0)</f>
        <v>23.795035272574172</v>
      </c>
      <c r="P8" s="22">
        <f t="shared" ref="P8:P16" ca="1" si="2">IF(M8&gt;0,N8*100/M8,0)</f>
        <v>52.220592017995571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2175628</v>
      </c>
      <c r="M10" s="30">
        <f t="shared" ca="1" si="3"/>
        <v>991355</v>
      </c>
      <c r="N10" s="30">
        <f t="shared" ca="1" si="3"/>
        <v>517691.45</v>
      </c>
      <c r="O10" s="30">
        <f t="shared" ca="1" si="1"/>
        <v>23.795035272574172</v>
      </c>
      <c r="P10" s="30">
        <f t="shared" ca="1" si="2"/>
        <v>52.220592017995571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2061828</v>
      </c>
      <c r="M11" s="497">
        <f t="shared" ca="1" si="4"/>
        <v>877755</v>
      </c>
      <c r="N11" s="497">
        <f t="shared" ca="1" si="4"/>
        <v>404091.45</v>
      </c>
      <c r="O11" s="497">
        <f t="shared" ca="1" si="1"/>
        <v>19.598698339531715</v>
      </c>
      <c r="P11" s="497">
        <f t="shared" ca="1" si="2"/>
        <v>46.036929439308238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2061828</v>
      </c>
      <c r="M13" s="93">
        <f t="shared" ca="1" si="5"/>
        <v>877755</v>
      </c>
      <c r="N13" s="93">
        <f t="shared" ca="1" si="5"/>
        <v>404091.45</v>
      </c>
      <c r="O13" s="93">
        <f t="shared" ca="1" si="1"/>
        <v>19.598698339531715</v>
      </c>
      <c r="P13" s="93">
        <f t="shared" ca="1" si="2"/>
        <v>46.036929439308238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113800</v>
      </c>
      <c r="M14" s="497">
        <f t="shared" ca="1" si="6"/>
        <v>113600</v>
      </c>
      <c r="N14" s="497">
        <f t="shared" ca="1" si="6"/>
        <v>113600</v>
      </c>
      <c r="O14" s="497">
        <f t="shared" ca="1" si="1"/>
        <v>99.824253075571178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991355</v>
      </c>
      <c r="N18" s="22">
        <f t="shared" ca="1" si="8"/>
        <v>505301.45</v>
      </c>
      <c r="O18" s="22">
        <f t="shared" ref="O18:O26" ca="1" si="9">IF(L18&gt;0,N18*100/L18,0)</f>
        <v>27.354623827633343</v>
      </c>
      <c r="P18" s="22">
        <f t="shared" ref="P18:P26" ca="1" si="10">IF(M18&gt;0,N18*100/M18,0)</f>
        <v>50.970787457570701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991355</v>
      </c>
      <c r="N20" s="30">
        <f t="shared" ca="1" si="11"/>
        <v>505301.45</v>
      </c>
      <c r="O20" s="30">
        <f t="shared" ca="1" si="9"/>
        <v>27.354623827633343</v>
      </c>
      <c r="P20" s="30">
        <f t="shared" ca="1" si="10"/>
        <v>50.970787457570701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1733425</v>
      </c>
      <c r="M21" s="497">
        <f t="shared" ca="1" si="12"/>
        <v>877755</v>
      </c>
      <c r="N21" s="497">
        <f t="shared" ca="1" si="12"/>
        <v>391701.45</v>
      </c>
      <c r="O21" s="497">
        <f t="shared" ca="1" si="9"/>
        <v>22.596965545091365</v>
      </c>
      <c r="P21" s="497">
        <f t="shared" ca="1" si="10"/>
        <v>44.625373822991612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1733425</v>
      </c>
      <c r="M23" s="93">
        <f t="shared" ca="1" si="13"/>
        <v>877755</v>
      </c>
      <c r="N23" s="93">
        <f t="shared" ca="1" si="13"/>
        <v>391701.45</v>
      </c>
      <c r="O23" s="93">
        <f t="shared" ca="1" si="9"/>
        <v>22.596965545091365</v>
      </c>
      <c r="P23" s="93">
        <f t="shared" ca="1" si="10"/>
        <v>44.625373822991612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113800</v>
      </c>
      <c r="M24" s="497">
        <f t="shared" ca="1" si="14"/>
        <v>113600</v>
      </c>
      <c r="N24" s="497">
        <f t="shared" ca="1" si="14"/>
        <v>113600</v>
      </c>
      <c r="O24" s="497">
        <f t="shared" ca="1" si="9"/>
        <v>99.824253075571178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328403</v>
      </c>
      <c r="M28" s="22">
        <f t="shared" si="16"/>
        <v>0</v>
      </c>
      <c r="N28" s="22">
        <f t="shared" si="16"/>
        <v>12390</v>
      </c>
      <c r="O28" s="22">
        <f t="shared" ref="O28:O37" ca="1" si="17">IF(L28&gt;0,N28*100/L28,0)</f>
        <v>3.7728035371175048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328403</v>
      </c>
      <c r="M30" s="30">
        <f t="shared" si="19"/>
        <v>0</v>
      </c>
      <c r="N30" s="30">
        <f t="shared" si="19"/>
        <v>12390</v>
      </c>
      <c r="O30" s="30">
        <f t="shared" ca="1" si="17"/>
        <v>3.7728035371175048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328403</v>
      </c>
      <c r="M31" s="497">
        <f t="shared" si="20"/>
        <v>0</v>
      </c>
      <c r="N31" s="497">
        <f t="shared" si="20"/>
        <v>12390</v>
      </c>
      <c r="O31" s="497">
        <f t="shared" ca="1" si="17"/>
        <v>3.7728035371175048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328403</v>
      </c>
      <c r="M33" s="93">
        <f t="shared" si="21"/>
        <v>0</v>
      </c>
      <c r="N33" s="93">
        <f t="shared" si="21"/>
        <v>12390</v>
      </c>
      <c r="O33" s="93">
        <f t="shared" ca="1" si="17"/>
        <v>3.7728035371175048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1847225</v>
      </c>
      <c r="M37" s="59">
        <f t="shared" ca="1" si="24"/>
        <v>991355</v>
      </c>
      <c r="N37" s="59">
        <f t="shared" ca="1" si="24"/>
        <v>505301.45</v>
      </c>
      <c r="O37" s="59">
        <f t="shared" ca="1" si="17"/>
        <v>27.354623827633343</v>
      </c>
      <c r="P37" s="59">
        <f t="shared" ca="1" si="18"/>
        <v>50.970787457570701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101200</v>
      </c>
      <c r="N41" s="85">
        <f t="shared" ca="1" si="25"/>
        <v>38183.870000000003</v>
      </c>
      <c r="O41" s="85">
        <f t="shared" ref="O41:O49" ca="1" si="26">IF(L41&gt;0,N41*100/L41,0)</f>
        <v>20.023004719454644</v>
      </c>
      <c r="P41" s="85">
        <f t="shared" ref="P41:P49" ca="1" si="27">IF(M41&gt;0,N41*100/M41,0)</f>
        <v>37.731096837944669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101200</v>
      </c>
      <c r="N43" s="92">
        <f t="shared" ca="1" si="28"/>
        <v>38183.870000000003</v>
      </c>
      <c r="O43" s="92">
        <f t="shared" ca="1" si="26"/>
        <v>20.023004719454644</v>
      </c>
      <c r="P43" s="92">
        <f t="shared" ca="1" si="27"/>
        <v>37.731096837944669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190700</v>
      </c>
      <c r="M44" s="497">
        <f t="shared" ca="1" si="29"/>
        <v>101200</v>
      </c>
      <c r="N44" s="497">
        <f t="shared" ca="1" si="29"/>
        <v>38183.870000000003</v>
      </c>
      <c r="O44" s="497">
        <f t="shared" ca="1" si="26"/>
        <v>20.023004719454644</v>
      </c>
      <c r="P44" s="497">
        <f t="shared" ca="1" si="27"/>
        <v>37.731096837944669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IFERROR(__xludf.DUMMYFUNCTION("IMPORTRANGE(""https://docs.google.com/spreadsheets/d/1MeEWN-I1oV_STSDYn1IFDPWt_1FKiwhDph83XaGc0o0/edit?usp=sharing"",""งบพรบ!R83"")"),101200)</f>
        <v>101200</v>
      </c>
      <c r="N46" s="93">
        <f ca="1">IFERROR(__xludf.DUMMYFUNCTION("IMPORTRANGE(""https://docs.google.com/spreadsheets/d/1MeEWN-I1oV_STSDYn1IFDPWt_1FKiwhDph83XaGc0o0/edit?usp=sharing"",""งบพรบ!T83"")"),38183.87)</f>
        <v>38183.870000000003</v>
      </c>
      <c r="O46" s="93">
        <f t="shared" ca="1" si="26"/>
        <v>20.023004719454644</v>
      </c>
      <c r="P46" s="93">
        <f t="shared" ca="1" si="27"/>
        <v>37.731096837944669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303350</v>
      </c>
      <c r="N53" s="116">
        <f t="shared" ca="1" si="31"/>
        <v>159910.69</v>
      </c>
      <c r="O53" s="116">
        <f t="shared" ref="O53:O61" ca="1" si="32">IF(L53&gt;0,N53*100/L53,0)</f>
        <v>26.357456733146531</v>
      </c>
      <c r="P53" s="116">
        <f t="shared" ref="P53:P61" ca="1" si="33">IF(M53&gt;0,N53*100/M53,0)</f>
        <v>52.714913466293062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303350</v>
      </c>
      <c r="N55" s="123">
        <f t="shared" ca="1" si="34"/>
        <v>159910.69</v>
      </c>
      <c r="O55" s="123">
        <f t="shared" ca="1" si="32"/>
        <v>26.357456733146531</v>
      </c>
      <c r="P55" s="123">
        <f t="shared" ca="1" si="33"/>
        <v>52.714913466293062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606700</v>
      </c>
      <c r="M56" s="497">
        <f t="shared" ca="1" si="35"/>
        <v>303350</v>
      </c>
      <c r="N56" s="497">
        <f t="shared" ca="1" si="35"/>
        <v>159910.69</v>
      </c>
      <c r="O56" s="497">
        <f t="shared" ca="1" si="32"/>
        <v>26.357456733146531</v>
      </c>
      <c r="P56" s="497">
        <f t="shared" ca="1" si="33"/>
        <v>52.714913466293062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IFERROR(__xludf.DUMMYFUNCTION("IMPORTRANGE(""https://docs.google.com/spreadsheets/d/1MeEWN-I1oV_STSDYn1IFDPWt_1FKiwhDph83XaGc0o0/edit?usp=sharing"",""งบพรบ!AB83"")"),303350)</f>
        <v>303350</v>
      </c>
      <c r="N58" s="93">
        <f ca="1">IFERROR(__xludf.DUMMYFUNCTION("IMPORTRANGE(""https://docs.google.com/spreadsheets/d/1MeEWN-I1oV_STSDYn1IFDPWt_1FKiwhDph83XaGc0o0/edit?usp=sharing"",""งบพรบ!AD83"")"),159910.69)</f>
        <v>159910.69</v>
      </c>
      <c r="O58" s="93">
        <f t="shared" ca="1" si="32"/>
        <v>26.357456733146531</v>
      </c>
      <c r="P58" s="93">
        <f t="shared" ca="1" si="33"/>
        <v>52.714913466293062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319000</v>
      </c>
      <c r="M88" s="155">
        <f t="shared" ca="1" si="49"/>
        <v>165150</v>
      </c>
      <c r="N88" s="155">
        <f t="shared" ca="1" si="49"/>
        <v>79781.63</v>
      </c>
      <c r="O88" s="155">
        <f t="shared" ref="O88:O96" ca="1" si="50">IF(L88&gt;0,N88*100/L88,0)</f>
        <v>25.009915360501566</v>
      </c>
      <c r="P88" s="155">
        <f t="shared" ref="P88:P96" ca="1" si="51">IF(M88&gt;0,N88*100/M88,0)</f>
        <v>48.308586133817741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319000</v>
      </c>
      <c r="M90" s="93">
        <f t="shared" ca="1" si="52"/>
        <v>165150</v>
      </c>
      <c r="N90" s="93">
        <f t="shared" ca="1" si="52"/>
        <v>79781.63</v>
      </c>
      <c r="O90" s="93">
        <f t="shared" ca="1" si="50"/>
        <v>25.009915360501566</v>
      </c>
      <c r="P90" s="93">
        <f t="shared" ca="1" si="51"/>
        <v>48.308586133817741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319000</v>
      </c>
      <c r="M91" s="497">
        <f t="shared" ca="1" si="53"/>
        <v>165150</v>
      </c>
      <c r="N91" s="497">
        <f t="shared" ca="1" si="53"/>
        <v>79781.63</v>
      </c>
      <c r="O91" s="497">
        <f t="shared" ca="1" si="50"/>
        <v>25.009915360501566</v>
      </c>
      <c r="P91" s="497">
        <f t="shared" ca="1" si="51"/>
        <v>48.308586133817741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IFERROR(__xludf.DUMMYFUNCTION("IMPORTRANGE(""https://docs.google.com/spreadsheets/d/1MeEWN-I1oV_STSDYn1IFDPWt_1FKiwhDph83XaGc0o0/edit?usp=sharing"",""งบพรบ!AV83"")"),165150)</f>
        <v>165150</v>
      </c>
      <c r="N93" s="93">
        <f ca="1">IFERROR(__xludf.DUMMYFUNCTION("IMPORTRANGE(""https://docs.google.com/spreadsheets/d/1MeEWN-I1oV_STSDYn1IFDPWt_1FKiwhDph83XaGc0o0/edit?usp=sharing"",""งบพรบ!AX83"")"),79781.63)</f>
        <v>79781.63</v>
      </c>
      <c r="O93" s="93">
        <f t="shared" ca="1" si="50"/>
        <v>25.009915360501566</v>
      </c>
      <c r="P93" s="93">
        <f t="shared" ca="1" si="51"/>
        <v>48.308586133817741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IFERROR(__xludf.DUMMYFUNCTION("IMPORTRANGE(""https://docs.google.com/spreadsheets/d/1QqKyyYR6Q21VydFLVH3TRQUabQu_ym0Zz7PgGX0-kHA/edit?usp=sharing"",""แผน!K83"")"),0)</f>
        <v>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IFERROR(__xludf.DUMMYFUNCTION("IMPORTRANGE(""https://docs.google.com/spreadsheets/d/1QqKyyYR6Q21VydFLVH3TRQUabQu_ym0Zz7PgGX0-kHA/edit?usp=sharing"",""แผน!L83"")"),0)</f>
        <v>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IFERROR(__xludf.DUMMYFUNCTION("IMPORTRANGE(""https://docs.google.com/spreadsheets/d/1QqKyyYR6Q21VydFLVH3TRQUabQu_ym0Zz7PgGX0-kHA/edit?usp=sharing"",""แผน!M83"")"),1)</f>
        <v>1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IFERROR(__xludf.DUMMYFUNCTION("IMPORTRANGE(""https://docs.google.com/spreadsheets/d/1QqKyyYR6Q21VydFLVH3TRQUabQu_ym0Zz7PgGX0-kHA/edit?usp=sharing"",""แผน!N83"")"),0)</f>
        <v>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IFERROR(__xludf.DUMMYFUNCTION("IMPORTRANGE(""https://docs.google.com/spreadsheets/d/1QqKyyYR6Q21VydFLVH3TRQUabQu_ym0Zz7PgGX0-kHA/edit?usp=sharing"",""แผน!O83"")"),0)</f>
        <v>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IFERROR(__xludf.DUMMYFUNCTION("IMPORTRANGE(""https://docs.google.com/spreadsheets/d/1QqKyyYR6Q21VydFLVH3TRQUabQu_ym0Zz7PgGX0-kHA/edit?usp=sharing"",""แผน!O83"")"),0)</f>
        <v>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IFERROR(__xludf.DUMMYFUNCTION("IMPORTRANGE(""https://docs.google.com/spreadsheets/d/1QqKyyYR6Q21VydFLVH3TRQUabQu_ym0Zz7PgGX0-kHA/edit?usp=sharing"",""แผน!P83"")"),0)</f>
        <v>0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IFERROR(__xludf.DUMMYFUNCTION("IMPORTRANGE(""https://docs.google.com/spreadsheets/d/1QqKyyYR6Q21VydFLVH3TRQUabQu_ym0Zz7PgGX0-kHA/edit?usp=sharing"",""แผน!P83"")"),0)</f>
        <v>0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IFERROR(__xludf.DUMMYFUNCTION("IMPORTRANGE(""https://docs.google.com/spreadsheets/d/1QqKyyYR6Q21VydFLVH3TRQUabQu_ym0Zz7PgGX0-kHA/edit?usp=sharing"",""แผน!Q83"")"),1)</f>
        <v>1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IFERROR(__xludf.DUMMYFUNCTION("IMPORTRANGE(""https://docs.google.com/spreadsheets/d/1QqKyyYR6Q21VydFLVH3TRQUabQu_ym0Zz7PgGX0-kHA/edit?usp=sharing"",""แผน!Q83"")"),1)</f>
        <v>1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IFERROR(__xludf.DUMMYFUNCTION("IMPORTRANGE(""https://docs.google.com/spreadsheets/d/1QqKyyYR6Q21VydFLVH3TRQUabQu_ym0Zz7PgGX0-kHA/edit?usp=sharing"",""แผน!U83"")"),0)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IFERROR(__xludf.DUMMYFUNCTION("IMPORTRANGE(""https://docs.google.com/spreadsheets/d/1QqKyyYR6Q21VydFLVH3TRQUabQu_ym0Zz7PgGX0-kHA/edit?usp=sharing"",""แผน!V83"")"),0)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IFERROR(__xludf.DUMMYFUNCTION("IMPORTRANGE(""https://docs.google.com/spreadsheets/d/1QqKyyYR6Q21VydFLVH3TRQUabQu_ym0Zz7PgGX0-kHA/edit?usp=sharing"",""แผน!W83"")"),0)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IFERROR(__xludf.DUMMYFUNCTION("IMPORTRANGE(""https://docs.google.com/spreadsheets/d/1QqKyyYR6Q21VydFLVH3TRQUabQu_ym0Zz7PgGX0-kHA/edit?usp=sharing"",""แผน!X83"")"),0)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13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24065</v>
      </c>
      <c r="M168" s="497">
        <f t="shared" ca="1" si="88"/>
        <v>24065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IFERROR(__xludf.DUMMYFUNCTION("IMPORTRANGE(""https://docs.google.com/spreadsheets/d/1MeEWN-I1oV_STSDYn1IFDPWt_1FKiwhDph83XaGc0o0/edit?usp=sharing"",""งบพรบ!CJ83"")"),24065)</f>
        <v>24065</v>
      </c>
      <c r="N170" s="93">
        <f ca="1">IFERROR(__xludf.DUMMYFUNCTION("IMPORTRANGE(""https://docs.google.com/spreadsheets/d/1MeEWN-I1oV_STSDYn1IFDPWt_1FKiwhDph83XaGc0o0/edit?usp=sharing"",""งบพรบ!CL83"")"),0)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13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IFERROR(__xludf.DUMMYFUNCTION("IMPORTRANGE(""https://docs.google.com/spreadsheets/d/1QqKyyYR6Q21VydFLVH3TRQUabQu_ym0Zz7PgGX0-kHA/edit?usp=sharing"",""แผน!Y83"")"),13)</f>
        <v>13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6000</v>
      </c>
      <c r="M181" s="155">
        <f t="shared" ca="1" si="92"/>
        <v>3000</v>
      </c>
      <c r="N181" s="155">
        <f t="shared" ca="1" si="92"/>
        <v>1624</v>
      </c>
      <c r="O181" s="155">
        <f t="shared" ref="O181:O189" ca="1" si="93">IF(L181&gt;0,N181*100/L181,0)</f>
        <v>27.066666666666666</v>
      </c>
      <c r="P181" s="155">
        <f t="shared" ref="P181:P189" ca="1" si="94">IF(M181&gt;0,N181*100/M181,0)</f>
        <v>54.133333333333333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6000</v>
      </c>
      <c r="M183" s="93">
        <f t="shared" ca="1" si="95"/>
        <v>3000</v>
      </c>
      <c r="N183" s="93">
        <f t="shared" ca="1" si="95"/>
        <v>1624</v>
      </c>
      <c r="O183" s="93">
        <f t="shared" ca="1" si="93"/>
        <v>27.066666666666666</v>
      </c>
      <c r="P183" s="93">
        <f t="shared" ca="1" si="94"/>
        <v>54.133333333333333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6000</v>
      </c>
      <c r="M184" s="497">
        <f t="shared" ca="1" si="96"/>
        <v>3000</v>
      </c>
      <c r="N184" s="497">
        <f t="shared" ca="1" si="96"/>
        <v>1624</v>
      </c>
      <c r="O184" s="497">
        <f t="shared" ca="1" si="93"/>
        <v>27.066666666666666</v>
      </c>
      <c r="P184" s="497">
        <f t="shared" ca="1" si="94"/>
        <v>54.133333333333333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IFERROR(__xludf.DUMMYFUNCTION("IMPORTRANGE(""https://docs.google.com/spreadsheets/d/1MeEWN-I1oV_STSDYn1IFDPWt_1FKiwhDph83XaGc0o0/edit?usp=sharing"",""งบพรบ!CT83"")"),3000)</f>
        <v>3000</v>
      </c>
      <c r="N186" s="93">
        <f ca="1">IFERROR(__xludf.DUMMYFUNCTION("IMPORTRANGE(""https://docs.google.com/spreadsheets/d/1MeEWN-I1oV_STSDYn1IFDPWt_1FKiwhDph83XaGc0o0/edit?usp=sharing"",""งบพรบ!CV83"")"),1624)</f>
        <v>1624</v>
      </c>
      <c r="O186" s="93">
        <f t="shared" ca="1" si="93"/>
        <v>27.066666666666666</v>
      </c>
      <c r="P186" s="93">
        <f t="shared" ca="1" si="94"/>
        <v>54.133333333333333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5">
        <v>1624</v>
      </c>
      <c r="O191" s="155">
        <f ca="1">IF(L191&gt;0,N191*100/L191,0)</f>
        <v>27.066666666666666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IFERROR(__xludf.DUMMYFUNCTION("IMPORTRANGE(""https://docs.google.com/spreadsheets/d/1QqKyyYR6Q21VydFLVH3TRQUabQu_ym0Zz7PgGX0-kHA/edit?usp=sharing"",""แผน!AC83"")"),4)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44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44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0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IFERROR(__xludf.DUMMYFUNCTION("IMPORTRANGE(""https://docs.google.com/spreadsheets/d/1QqKyyYR6Q21VydFLVH3TRQUabQu_ym0Zz7PgGX0-kHA/edit?usp=sharing"",""แผน!AE83"")"),0)</f>
        <v>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IFERROR(__xludf.DUMMYFUNCTION("IMPORTRANGE(""https://docs.google.com/spreadsheets/d/1QqKyyYR6Q21VydFLVH3TRQUabQu_ym0Zz7PgGX0-kHA/edit?usp=sharing"",""แผน!AF83"")"),0)</f>
        <v>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 hidden="1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IFERROR(__xludf.DUMMYFUNCTION("IMPORTRANGE(""https://docs.google.com/spreadsheets/d/1QqKyyYR6Q21VydFLVH3TRQUabQu_ym0Zz7PgGX0-kHA/edit?usp=sharing"",""แผน!AG83"")"),0)</f>
        <v>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 hidden="1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IFERROR(__xludf.DUMMYFUNCTION("IMPORTRANGE(""https://docs.google.com/spreadsheets/d/1QqKyyYR6Q21VydFLVH3TRQUabQu_ym0Zz7PgGX0-kHA/edit?usp=sharing"",""แผน!AH83"")"),0)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 hidden="1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IFERROR(__xludf.DUMMYFUNCTION("IMPORTRANGE(""https://docs.google.com/spreadsheets/d/1QqKyyYR6Q21VydFLVH3TRQUabQu_ym0Zz7PgGX0-kHA/edit?usp=sharing"",""แผน!AI83"")"),0)</f>
        <v>0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347</v>
      </c>
      <c r="F206" s="178"/>
      <c r="G206" s="179"/>
      <c r="H206" s="754" t="s">
        <v>96</v>
      </c>
      <c r="I206" s="269"/>
      <c r="J206" s="214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348</v>
      </c>
      <c r="F207" s="178"/>
      <c r="G207" s="179"/>
      <c r="H207" s="756" t="s">
        <v>69</v>
      </c>
      <c r="I207" s="269"/>
      <c r="J207" s="214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IFERROR(__xludf.DUMMYFUNCTION("IMPORTRANGE(""https://docs.google.com/spreadsheets/d/1QqKyyYR6Q21VydFLVH3TRQUabQu_ym0Zz7PgGX0-kHA/edit?usp=sharing"",""แผน!AK83"")"),0)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IFERROR(__xludf.DUMMYFUNCTION("IMPORTRANGE(""https://docs.google.com/spreadsheets/d/1QqKyyYR6Q21VydFLVH3TRQUabQu_ym0Zz7PgGX0-kHA/edit?usp=sharing"",""แผน!AL83"")"),0)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IFERROR(__xludf.DUMMYFUNCTION("IMPORTRANGE(""https://docs.google.com/spreadsheets/d/1QqKyyYR6Q21VydFLVH3TRQUabQu_ym0Zz7PgGX0-kHA/edit?usp=sharing"",""แผน!AM83"")"),0)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IFERROR(__xludf.DUMMYFUNCTION("IMPORTRANGE(""https://docs.google.com/spreadsheets/d/1QqKyyYR6Q21VydFLVH3TRQUabQu_ym0Zz7PgGX0-kHA/edit?usp=sharing"",""แผน!AN83"")"),0)</f>
        <v>0</v>
      </c>
      <c r="J214" s="214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IFERROR(__xludf.DUMMYFUNCTION("IMPORTRANGE(""https://docs.google.com/spreadsheets/d/1QqKyyYR6Q21VydFLVH3TRQUabQu_ym0Zz7PgGX0-kHA/edit?usp=sharing"",""แผน!AN83"")"),0)</f>
        <v>0</v>
      </c>
      <c r="J215" s="214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 hidden="1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IFERROR(__xludf.DUMMYFUNCTION("IMPORTRANGE(""https://docs.google.com/spreadsheets/d/1QqKyyYR6Q21VydFLVH3TRQUabQu_ym0Zz7PgGX0-kHA/edit?usp=sharing"",""แผน!AP83"")"),0)</f>
        <v>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IFERROR(__xludf.DUMMYFUNCTION("IMPORTRANGE(""https://docs.google.com/spreadsheets/d/1QqKyyYR6Q21VydFLVH3TRQUabQu_ym0Zz7PgGX0-kHA/edit?usp=sharing"",""แผน!AQ83"")"),0)</f>
        <v>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 hidden="1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IFERROR(__xludf.DUMMYFUNCTION("IMPORTRANGE(""https://docs.google.com/spreadsheets/d/1QqKyyYR6Q21VydFLVH3TRQUabQu_ym0Zz7PgGX0-kHA/edit?usp=sharing"",""แผน!AR83"")"),0)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 hidden="1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IFERROR(__xludf.DUMMYFUNCTION("IMPORTRANGE(""https://docs.google.com/spreadsheets/d/1QqKyyYR6Q21VydFLVH3TRQUabQu_ym0Zz7PgGX0-kHA/edit?usp=sharing"",""แผน!AT83"")"),0)</f>
        <v>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IFERROR(__xludf.DUMMYFUNCTION("IMPORTRANGE(""https://docs.google.com/spreadsheets/d/1QqKyyYR6Q21VydFLVH3TRQUabQu_ym0Zz7PgGX0-kHA/edit?usp=sharing"",""แผน!AT83"")"),0)</f>
        <v>0</v>
      </c>
      <c r="J224" s="214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IFERROR(__xludf.DUMMYFUNCTION("IMPORTRANGE(""https://docs.google.com/spreadsheets/d/1QqKyyYR6Q21VydFLVH3TRQUabQu_ym0Zz7PgGX0-kHA/edit?usp=sharing"",""แผน!AS83"")"),0)</f>
        <v>0</v>
      </c>
      <c r="J225" s="214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7">I244+I255</f>
        <v>0</v>
      </c>
      <c r="J233" s="611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8">I246+I257</f>
        <v>0</v>
      </c>
      <c r="J235" s="611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8"/>
        <v>0</v>
      </c>
      <c r="J236" s="611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IFERROR(__xludf.DUMMYFUNCTION("IMPORTRANGE(""https://docs.google.com/spreadsheets/d/1QqKyyYR6Q21VydFLVH3TRQUabQu_ym0Zz7PgGX0-kHA/edit?usp=sharing"",""แผน!AV83"")"),0)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IFERROR(__xludf.DUMMYFUNCTION("IMPORTRANGE(""https://docs.google.com/spreadsheets/d/1QqKyyYR6Q21VydFLVH3TRQUabQu_ym0Zz7PgGX0-kHA/edit?usp=sharing"",""แผน!AW83"")"),0)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IFERROR(__xludf.DUMMYFUNCTION("IMPORTRANGE(""https://docs.google.com/spreadsheets/d/1QqKyyYR6Q21VydFLVH3TRQUabQu_ym0Zz7PgGX0-kHA/edit?usp=sharing"",""แผน!AX83"")"),0)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IFERROR(__xludf.DUMMYFUNCTION("IMPORTRANGE(""https://docs.google.com/spreadsheets/d/1QqKyyYR6Q21VydFLVH3TRQUabQu_ym0Zz7PgGX0-kHA/edit?usp=sharing"",""แผน!AY83"")"),0)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IFERROR(__xludf.DUMMYFUNCTION("IMPORTRANGE(""https://docs.google.com/spreadsheets/d/1QqKyyYR6Q21VydFLVH3TRQUabQu_ym0Zz7PgGX0-kHA/edit?usp=sharing"",""แผน!BE83"")"),0)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IFERROR(__xludf.DUMMYFUNCTION("IMPORTRANGE(""https://docs.google.com/spreadsheets/d/1QqKyyYR6Q21VydFLVH3TRQUabQu_ym0Zz7PgGX0-kHA/edit?usp=sharing"",""แผน!AZ83"")"),0)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IFERROR(__xludf.DUMMYFUNCTION("IMPORTRANGE(""https://docs.google.com/spreadsheets/d/1QqKyyYR6Q21VydFLVH3TRQUabQu_ym0Zz7PgGX0-kHA/edit?usp=sharing"",""แผน!BA83"")"),0)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IFERROR(__xludf.DUMMYFUNCTION("IMPORTRANGE(""https://docs.google.com/spreadsheets/d/1QqKyyYR6Q21VydFLVH3TRQUabQu_ym0Zz7PgGX0-kHA/edit?usp=sharing"",""แผน!BB83"")"),0)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IFERROR(__xludf.DUMMYFUNCTION("IMPORTRANGE(""https://docs.google.com/spreadsheets/d/1QqKyyYR6Q21VydFLVH3TRQUabQu_ym0Zz7PgGX0-kHA/edit?usp=sharing"",""แผน!BC83"")"),0)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IFERROR(__xludf.DUMMYFUNCTION("IMPORTRANGE(""https://docs.google.com/spreadsheets/d/1QqKyyYR6Q21VydFLVH3TRQUabQu_ym0Zz7PgGX0-kHA/edit?usp=sharing"",""แผน!BF83"")"),0)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20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25000</v>
      </c>
      <c r="M264" s="497">
        <f t="shared" ca="1" si="119"/>
        <v>0</v>
      </c>
      <c r="N264" s="497">
        <f t="shared" ca="1" si="119"/>
        <v>0</v>
      </c>
      <c r="O264" s="497">
        <f t="shared" ca="1" si="116"/>
        <v>0</v>
      </c>
      <c r="P264" s="497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IFERROR(__xludf.DUMMYFUNCTION("IMPORTRANGE(""https://docs.google.com/spreadsheets/d/1MeEWN-I1oV_STSDYn1IFDPWt_1FKiwhDph83XaGc0o0/edit?usp=sharing"",""งบพรบ!DD83"")"),0)</f>
        <v>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IFERROR(__xludf.DUMMYFUNCTION("IMPORTRANGE(""https://docs.google.com/spreadsheets/d/1QqKyyYR6Q21VydFLVH3TRQUabQu_ym0Zz7PgGX0-kHA/edit?usp=sharing"",""แผน!EA83"")"),20)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3">I287</f>
        <v>0</v>
      </c>
      <c r="J276" s="409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IFERROR(__xludf.DUMMYFUNCTION("IMPORTRANGE(""https://docs.google.com/spreadsheets/d/1QqKyyYR6Q21VydFLVH3TRQUabQu_ym0Zz7PgGX0-kHA/edit?usp=sharing"",""แผน!EC83"")"),0)</f>
        <v>0</v>
      </c>
      <c r="J287" s="269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IFERROR(__xludf.DUMMYFUNCTION("IMPORTRANGE(""https://docs.google.com/spreadsheets/d/1QqKyyYR6Q21VydFLVH3TRQUabQu_ym0Zz7PgGX0-kHA/edit?usp=sharing"",""แผน!EB83"")"),0)</f>
        <v>0</v>
      </c>
      <c r="J288" s="675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IFERROR(__xludf.DUMMYFUNCTION("IMPORTRANGE(""https://docs.google.com/spreadsheets/d/1QqKyyYR6Q21VydFLVH3TRQUabQu_ym0Zz7PgGX0-kHA/edit?usp=sharing"",""แผน!EB83"")"),0)</f>
        <v>0</v>
      </c>
      <c r="J294" s="424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IFERROR(__xludf.DUMMYFUNCTION("IMPORTRANGE(""https://docs.google.com/spreadsheets/d/1QqKyyYR6Q21VydFLVH3TRQUabQu_ym0Zz7PgGX0-kHA/edit?usp=sharing"",""แผน!ED83"")"),0)</f>
        <v>0</v>
      </c>
      <c r="J309" s="214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IFERROR(__xludf.DUMMYFUNCTION("IMPORTRANGE(""https://docs.google.com/spreadsheets/d/1QqKyyYR6Q21VydFLVH3TRQUabQu_ym0Zz7PgGX0-kHA/edit?usp=sharing"",""แผน!ED83"")"),0)</f>
        <v>0</v>
      </c>
      <c r="J310" s="214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IFERROR(__xludf.DUMMYFUNCTION("IMPORTRANGE(""https://docs.google.com/spreadsheets/d/1QqKyyYR6Q21VydFLVH3TRQUabQu_ym0Zz7PgGX0-kHA/edit?usp=sharing"",""แผน!ED83"")"),0)</f>
        <v>0</v>
      </c>
      <c r="J311" s="214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IFERROR(__xludf.DUMMYFUNCTION("IMPORTRANGE(""https://docs.google.com/spreadsheets/d/1QqKyyYR6Q21VydFLVH3TRQUabQu_ym0Zz7PgGX0-kHA/edit?usp=sharing"",""แผน!EE83"")"),0)</f>
        <v>0</v>
      </c>
      <c r="J312" s="214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IFERROR(__xludf.DUMMYFUNCTION("IMPORTRANGE(""https://docs.google.com/spreadsheets/d/1QqKyyYR6Q21VydFLVH3TRQUabQu_ym0Zz7PgGX0-kHA/edit?usp=sharing"",""แผน!EF83"")"),0)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IFERROR(__xludf.DUMMYFUNCTION("IMPORTRANGE(""https://docs.google.com/spreadsheets/d/1QqKyyYR6Q21VydFLVH3TRQUabQu_ym0Zz7PgGX0-kHA/edit?usp=sharing"",""แผน!EG83"")"),180)</f>
        <v>180</v>
      </c>
      <c r="J327" s="444">
        <f ca="1">J338+J341+J342+J343</f>
        <v>34</v>
      </c>
      <c r="K327" s="445">
        <f ca="1">IF(I327&gt;0,J327*100/I327,0)</f>
        <v>18.888888888888889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157000</v>
      </c>
      <c r="M328" s="155">
        <f t="shared" ca="1" si="148"/>
        <v>78500</v>
      </c>
      <c r="N328" s="155">
        <f t="shared" ca="1" si="148"/>
        <v>30706.2</v>
      </c>
      <c r="O328" s="155">
        <f t="shared" ref="O328:O336" ca="1" si="149">IF(L328&gt;0,N328*100/L328,0)</f>
        <v>19.558089171974522</v>
      </c>
      <c r="P328" s="155">
        <f t="shared" ref="P328:P336" ca="1" si="150">IF(M328&gt;0,N328*100/M328,0)</f>
        <v>39.116178343949045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1"/>
        <v>157000</v>
      </c>
      <c r="M330" s="93">
        <f t="shared" ca="1" si="151"/>
        <v>78500</v>
      </c>
      <c r="N330" s="93">
        <f t="shared" ca="1" si="151"/>
        <v>30706.2</v>
      </c>
      <c r="O330" s="93">
        <f t="shared" ca="1" si="149"/>
        <v>19.558089171974522</v>
      </c>
      <c r="P330" s="93">
        <f t="shared" ca="1" si="150"/>
        <v>39.116178343949045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157000</v>
      </c>
      <c r="M331" s="497">
        <f t="shared" ca="1" si="152"/>
        <v>78500</v>
      </c>
      <c r="N331" s="497">
        <f t="shared" ca="1" si="152"/>
        <v>30706.2</v>
      </c>
      <c r="O331" s="497">
        <f t="shared" ca="1" si="149"/>
        <v>19.558089171974522</v>
      </c>
      <c r="P331" s="497">
        <f t="shared" ca="1" si="150"/>
        <v>39.116178343949045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IFERROR(__xludf.DUMMYFUNCTION("IMPORTRANGE(""https://docs.google.com/spreadsheets/d/1MeEWN-I1oV_STSDYn1IFDPWt_1FKiwhDph83XaGc0o0/edit?usp=sharing"",""งบพรบ!ER83"")"),78500)</f>
        <v>78500</v>
      </c>
      <c r="N333" s="93">
        <f ca="1">IFERROR(__xludf.DUMMYFUNCTION("IMPORTRANGE(""https://docs.google.com/spreadsheets/d/1MeEWN-I1oV_STSDYn1IFDPWt_1FKiwhDph83XaGc0o0/edit?usp=sharing"",""งบพรบ!ET83"")"),30706.2)</f>
        <v>30706.2</v>
      </c>
      <c r="O333" s="93">
        <f t="shared" ca="1" si="149"/>
        <v>19.558089171974522</v>
      </c>
      <c r="P333" s="93">
        <f t="shared" ca="1" si="150"/>
        <v>39.116178343949045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IFERROR(__xludf.DUMMYFUNCTION("IMPORTRANGE(""https://docs.google.com/spreadsheets/d/1QqKyyYR6Q21VydFLVH3TRQUabQu_ym0Zz7PgGX0-kHA/edit?usp=sharing"",""แผน!EG83"")"),180)</f>
        <v>180</v>
      </c>
      <c r="J338" s="269">
        <f ca="1">IFERROR(__xludf.DUMMYFUNCTION("IMPORTRANGE(""https://docs.google.com/spreadsheets/d/1kVcqe37tkHyjCSG3S0O1AXqVkqjo8mSIZil3BcpIysc/edit?usp=sharing"",""ศูนย์!D83"")"),34)</f>
        <v>34</v>
      </c>
      <c r="K338" s="497">
        <f ca="1">IF(I338&gt;0,J338*100/I338,0)</f>
        <v>18.888888888888889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IFERROR(__xludf.DUMMYFUNCTION("IMPORTRANGE(""https://docs.google.com/spreadsheets/d/1QqKyyYR6Q21VydFLVH3TRQUabQu_ym0Zz7PgGX0-kHA/edit?usp=sharing"",""แผน!EH83"")"),2)</f>
        <v>2</v>
      </c>
      <c r="J340" s="269">
        <f ca="1">IFERROR(__xludf.DUMMYFUNCTION("IMPORTRANGE(""https://docs.google.com/spreadsheets/d/1kVcqe37tkHyjCSG3S0O1AXqVkqjo8mSIZil3BcpIysc/edit?usp=sharing"",""ศูนย์!E83"")"),0)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IFERROR(__xludf.DUMMYFUNCTION("IMPORTRANGE(""https://docs.google.com/spreadsheets/d/1kVcqe37tkHyjCSG3S0O1AXqVkqjo8mSIZil3BcpIysc/edit?usp=sharing"",""ศูนย์!F83"")"),0)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518760</v>
      </c>
      <c r="M345" s="155">
        <f t="shared" ca="1" si="154"/>
        <v>316090</v>
      </c>
      <c r="N345" s="155">
        <f t="shared" ca="1" si="154"/>
        <v>195095.06</v>
      </c>
      <c r="O345" s="155">
        <f t="shared" ref="O345:O353" ca="1" si="155">IF(L345&gt;0,N345*100/L345,0)</f>
        <v>37.607961292312439</v>
      </c>
      <c r="P345" s="155">
        <f t="shared" ref="P345:P353" ca="1" si="156">IF(M345&gt;0,N345*100/M345,0)</f>
        <v>61.721364168433041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7"/>
        <v>518760</v>
      </c>
      <c r="M347" s="93">
        <f t="shared" ca="1" si="157"/>
        <v>316090</v>
      </c>
      <c r="N347" s="93">
        <f t="shared" ca="1" si="157"/>
        <v>195095.06</v>
      </c>
      <c r="O347" s="93">
        <f t="shared" ca="1" si="155"/>
        <v>37.607961292312439</v>
      </c>
      <c r="P347" s="93">
        <f t="shared" ca="1" si="156"/>
        <v>61.721364168433041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404960</v>
      </c>
      <c r="M348" s="497">
        <f t="shared" ca="1" si="158"/>
        <v>202490</v>
      </c>
      <c r="N348" s="497">
        <f t="shared" ca="1" si="158"/>
        <v>81495.06</v>
      </c>
      <c r="O348" s="497">
        <f t="shared" ca="1" si="155"/>
        <v>20.124224614776768</v>
      </c>
      <c r="P348" s="497">
        <f t="shared" ca="1" si="156"/>
        <v>40.246461553656971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IFERROR(__xludf.DUMMYFUNCTION("IMPORTRANGE(""https://docs.google.com/spreadsheets/d/1MeEWN-I1oV_STSDYn1IFDPWt_1FKiwhDph83XaGc0o0/edit?usp=sharing"",""งบพรบ!FB83"")"),202490)</f>
        <v>202490</v>
      </c>
      <c r="N350" s="93">
        <f ca="1">IFERROR(__xludf.DUMMYFUNCTION("IMPORTRANGE(""https://docs.google.com/spreadsheets/d/1MeEWN-I1oV_STSDYn1IFDPWt_1FKiwhDph83XaGc0o0/edit?usp=sharing"",""งบพรบ!FD83"")"),81495.06)</f>
        <v>81495.06</v>
      </c>
      <c r="O350" s="93">
        <f t="shared" ca="1" si="155"/>
        <v>20.124224614776768</v>
      </c>
      <c r="P350" s="93">
        <f t="shared" ca="1" si="156"/>
        <v>40.246461553656971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113800</v>
      </c>
      <c r="M351" s="497">
        <f t="shared" ca="1" si="159"/>
        <v>113600</v>
      </c>
      <c r="N351" s="497">
        <f t="shared" ca="1" si="159"/>
        <v>113600</v>
      </c>
      <c r="O351" s="497">
        <f t="shared" ca="1" si="155"/>
        <v>99.824253075571178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IFERROR(__xludf.DUMMYFUNCTION("IMPORTRANGE(""https://docs.google.com/spreadsheets/d/1QqKyyYR6Q21VydFLVH3TRQUabQu_ym0Zz7PgGX0-kHA/edit?usp=sharing"",""แผน!EP83"")"),13)</f>
        <v>13</v>
      </c>
      <c r="J355" s="464">
        <f ca="1">J362</f>
        <v>12</v>
      </c>
      <c r="K355" s="465">
        <f ca="1">IF(I355&gt;0,J355*100/I355,0)</f>
        <v>92.307692307692307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IFERROR(__xludf.DUMMYFUNCTION("IMPORTRANGE(""https://docs.google.com/spreadsheets/d/1XWAQStnk-4SwqDmLtmXYiTMKHgktTP8We1SCoS47DrQ/edit?usp=sharing"",""จัดที่ดิน!W83"")"),12)</f>
        <v>12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IFERROR(__xludf.DUMMYFUNCTION("IMPORTRANGE(""https://docs.google.com/spreadsheets/d/1QqKyyYR6Q21VydFLVH3TRQUabQu_ym0Zz7PgGX0-kHA/edit?usp=sharing"",""แผน!EO83"")"),63)</f>
        <v>63</v>
      </c>
      <c r="J359" s="269">
        <f ca="1">IFERROR(__xludf.DUMMYFUNCTION("IMPORTRANGE(""https://docs.google.com/spreadsheets/d/1XWAQStnk-4SwqDmLtmXYiTMKHgktTP8We1SCoS47DrQ/edit?usp=sharing"",""จัดที่ดิน!X83"")"),52.17)</f>
        <v>52.17</v>
      </c>
      <c r="K359" s="497">
        <f t="shared" ca="1" si="160"/>
        <v>82.80952380952381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IFERROR(__xludf.DUMMYFUNCTION("IMPORTRANGE(""https://docs.google.com/spreadsheets/d/1QqKyyYR6Q21VydFLVH3TRQUabQu_ym0Zz7PgGX0-kHA/edit?usp=sharing"",""แผน!EP83"")"),13)</f>
        <v>13</v>
      </c>
      <c r="J360" s="269">
        <f ca="1">IFERROR(__xludf.DUMMYFUNCTION("IMPORTRANGE(""https://docs.google.com/spreadsheets/d/1XWAQStnk-4SwqDmLtmXYiTMKHgktTP8We1SCoS47DrQ/edit?usp=sharing"",""จัดที่ดิน!Y83"")"),12)</f>
        <v>12</v>
      </c>
      <c r="K360" s="497">
        <f t="shared" ca="1" si="160"/>
        <v>92.307692307692307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IFERROR(__xludf.DUMMYFUNCTION("IMPORTRANGE(""https://docs.google.com/spreadsheets/d/1XWAQStnk-4SwqDmLtmXYiTMKHgktTP8We1SCoS47DrQ/edit?usp=sharing"",""จัดที่ดิน!Z83"")"),52.17)</f>
        <v>52.17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IFERROR(__xludf.DUMMYFUNCTION("IMPORTRANGE(""https://docs.google.com/spreadsheets/d/1QqKyyYR6Q21VydFLVH3TRQUabQu_ym0Zz7PgGX0-kHA/edit?usp=sharing"",""แผน!EP83"")"),13)</f>
        <v>13</v>
      </c>
      <c r="J362" s="269">
        <f ca="1">IFERROR(__xludf.DUMMYFUNCTION("IMPORTRANGE(""https://docs.google.com/spreadsheets/d/1XWAQStnk-4SwqDmLtmXYiTMKHgktTP8We1SCoS47DrQ/edit?usp=sharing"",""จัดที่ดิน!AA83"")"),12)</f>
        <v>12</v>
      </c>
      <c r="K362" s="497">
        <f t="shared" ca="1" si="160"/>
        <v>92.307692307692307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IFERROR(__xludf.DUMMYFUNCTION("IMPORTRANGE(""https://docs.google.com/spreadsheets/d/1XWAQStnk-4SwqDmLtmXYiTMKHgktTP8We1SCoS47DrQ/edit?usp=sharing"",""จัดที่ดิน!AB83"")"),52.17)</f>
        <v>52.17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17</v>
      </c>
      <c r="J364" s="478">
        <f t="shared" ca="1" si="161"/>
        <v>12</v>
      </c>
      <c r="K364" s="479">
        <f t="shared" ca="1" si="160"/>
        <v>70.588235294117652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IFERROR(__xludf.DUMMYFUNCTION("IMPORTRANGE(""https://docs.google.com/spreadsheets/d/1QqKyyYR6Q21VydFLVH3TRQUabQu_ym0Zz7PgGX0-kHA/edit?usp=sharing"",""แผน!EJ83"")"),1)</f>
        <v>1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IFERROR(__xludf.DUMMYFUNCTION("IMPORTRANGE(""https://docs.google.com/spreadsheets/d/1XWAQStnk-4SwqDmLtmXYiTMKHgktTP8We1SCoS47DrQ/edit?usp=sharing"",""จัดที่ดิน!E83"")"),0)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IFERROR(__xludf.DUMMYFUNCTION("IMPORTRANGE(""https://docs.google.com/spreadsheets/d/1QqKyyYR6Q21VydFLVH3TRQUabQu_ym0Zz7PgGX0-kHA/edit?usp=sharing"",""แผน!EI83"")"),3)</f>
        <v>3</v>
      </c>
      <c r="J369" s="269">
        <f ca="1">IFERROR(__xludf.DUMMYFUNCTION("IMPORTRANGE(""https://docs.google.com/spreadsheets/d/1XWAQStnk-4SwqDmLtmXYiTMKHgktTP8We1SCoS47DrQ/edit?usp=sharing"",""จัดที่ดิน!F83"")"),0)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IFERROR(__xludf.DUMMYFUNCTION("IMPORTRANGE(""https://docs.google.com/spreadsheets/d/1QqKyyYR6Q21VydFLVH3TRQUabQu_ym0Zz7PgGX0-kHA/edit?usp=sharing"",""แผน!EJ83"")"),1)</f>
        <v>1</v>
      </c>
      <c r="J370" s="269">
        <f ca="1">IFERROR(__xludf.DUMMYFUNCTION("IMPORTRANGE(""https://docs.google.com/spreadsheets/d/1XWAQStnk-4SwqDmLtmXYiTMKHgktTP8We1SCoS47DrQ/edit?usp=sharing"",""จัดที่ดิน!G83"")"),0)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IFERROR(__xludf.DUMMYFUNCTION("IMPORTRANGE(""https://docs.google.com/spreadsheets/d/1XWAQStnk-4SwqDmLtmXYiTMKHgktTP8We1SCoS47DrQ/edit?usp=sharing"",""จัดที่ดิน!H83"")"),0)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IFERROR(__xludf.DUMMYFUNCTION("IMPORTRANGE(""https://docs.google.com/spreadsheets/d/1QqKyyYR6Q21VydFLVH3TRQUabQu_ym0Zz7PgGX0-kHA/edit?usp=sharing"",""แผน!EJ83"")"),1)</f>
        <v>1</v>
      </c>
      <c r="J372" s="269">
        <f ca="1">IFERROR(__xludf.DUMMYFUNCTION("IMPORTRANGE(""https://docs.google.com/spreadsheets/d/1XWAQStnk-4SwqDmLtmXYiTMKHgktTP8We1SCoS47DrQ/edit?usp=sharing"",""จัดที่ดิน!I83"")"),0)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IFERROR(__xludf.DUMMYFUNCTION("IMPORTRANGE(""https://docs.google.com/spreadsheets/d/1XWAQStnk-4SwqDmLtmXYiTMKHgktTP8We1SCoS47DrQ/edit?usp=sharing"",""จัดที่ดิน!J83"")"),0)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IFERROR(__xludf.DUMMYFUNCTION("IMPORTRANGE(""https://docs.google.com/spreadsheets/d/1QqKyyYR6Q21VydFLVH3TRQUabQu_ym0Zz7PgGX0-kHA/edit?usp=sharing"",""แผน!EU83"")"),16)</f>
        <v>16</v>
      </c>
      <c r="J374" s="490">
        <f ca="1">J381</f>
        <v>12</v>
      </c>
      <c r="K374" s="491">
        <f t="shared" ca="1" si="162"/>
        <v>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IFERROR(__xludf.DUMMYFUNCTION("IMPORTRANGE(""https://docs.google.com/spreadsheets/d/1XWAQStnk-4SwqDmLtmXYiTMKHgktTP8We1SCoS47DrQ/edit?usp=sharing"",""จัดที่ดิน!AH83"")"),12)</f>
        <v>12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IFERROR(__xludf.DUMMYFUNCTION("IMPORTRANGE(""https://docs.google.com/spreadsheets/d/1QqKyyYR6Q21VydFLVH3TRQUabQu_ym0Zz7PgGX0-kHA/edit?usp=sharing"",""แผน!ET83"")"),60)</f>
        <v>60</v>
      </c>
      <c r="J378" s="269">
        <f ca="1">IFERROR(__xludf.DUMMYFUNCTION("IMPORTRANGE(""https://docs.google.com/spreadsheets/d/1XWAQStnk-4SwqDmLtmXYiTMKHgktTP8We1SCoS47DrQ/edit?usp=sharing"",""จัดที่ดิน!AI83"")"),52.17)</f>
        <v>52.17</v>
      </c>
      <c r="K378" s="497">
        <f t="shared" ca="1" si="163"/>
        <v>86.95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IFERROR(__xludf.DUMMYFUNCTION("IMPORTRANGE(""https://docs.google.com/spreadsheets/d/1QqKyyYR6Q21VydFLVH3TRQUabQu_ym0Zz7PgGX0-kHA/edit?usp=sharing"",""แผน!EU83"")"),16)</f>
        <v>16</v>
      </c>
      <c r="J379" s="269">
        <f ca="1">IFERROR(__xludf.DUMMYFUNCTION("IMPORTRANGE(""https://docs.google.com/spreadsheets/d/1XWAQStnk-4SwqDmLtmXYiTMKHgktTP8We1SCoS47DrQ/edit?usp=sharing"",""จัดที่ดิน!AJ83"")"),12)</f>
        <v>12</v>
      </c>
      <c r="K379" s="497">
        <f t="shared" ca="1" si="163"/>
        <v>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IFERROR(__xludf.DUMMYFUNCTION("IMPORTRANGE(""https://docs.google.com/spreadsheets/d/1XWAQStnk-4SwqDmLtmXYiTMKHgktTP8We1SCoS47DrQ/edit?usp=sharing"",""จัดที่ดิน!AK83"")"),52.17)</f>
        <v>52.17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IFERROR(__xludf.DUMMYFUNCTION("IMPORTRANGE(""https://docs.google.com/spreadsheets/d/1QqKyyYR6Q21VydFLVH3TRQUabQu_ym0Zz7PgGX0-kHA/edit?usp=sharing"",""แผน!EU83"")"),16)</f>
        <v>16</v>
      </c>
      <c r="J381" s="269">
        <f ca="1">IFERROR(__xludf.DUMMYFUNCTION("IMPORTRANGE(""https://docs.google.com/spreadsheets/d/1XWAQStnk-4SwqDmLtmXYiTMKHgktTP8We1SCoS47DrQ/edit?usp=sharing"",""จัดที่ดิน!AL83"")"),12)</f>
        <v>12</v>
      </c>
      <c r="K381" s="497">
        <f t="shared" ca="1" si="163"/>
        <v>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IFERROR(__xludf.DUMMYFUNCTION("IMPORTRANGE(""https://docs.google.com/spreadsheets/d/1XWAQStnk-4SwqDmLtmXYiTMKHgktTP8We1SCoS47DrQ/edit?usp=sharing"",""จัดที่ดิน!AM83"")"),52.17)</f>
        <v>52.17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IFERROR(__xludf.DUMMYFUNCTION("IMPORTRANGE(""https://docs.google.com/spreadsheets/d/1QqKyyYR6Q21VydFLVH3TRQUabQu_ym0Zz7PgGX0-kHA/edit?usp=sharing"",""แผน!EW83"")"),2)</f>
        <v>2</v>
      </c>
      <c r="J385" s="500">
        <f ca="1">IFERROR(__xludf.DUMMYFUNCTION("IMPORTRANGE(""https://docs.google.com/spreadsheets/d/1XWAQStnk-4SwqDmLtmXYiTMKHgktTP8We1SCoS47DrQ/edit?usp=sharing"",""จัดที่ดิน!AP83"")"),0)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4">I400</f>
        <v>0</v>
      </c>
      <c r="J388" s="521">
        <f t="shared" si="164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1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2">I412</f>
        <v>0</v>
      </c>
      <c r="J401" s="521">
        <f t="shared" si="172"/>
        <v>0</v>
      </c>
      <c r="K401" s="522">
        <f t="shared" si="171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79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0">L419+L444+L467+L502+L523+L544+L629+L655+L685+L737+L754+L770+L786+L805</f>
        <v>328403</v>
      </c>
      <c r="M414" s="548">
        <f t="shared" si="180"/>
        <v>0</v>
      </c>
      <c r="N414" s="548">
        <f t="shared" si="180"/>
        <v>12390</v>
      </c>
      <c r="O414" s="548">
        <f ca="1">IF(L414&gt;0,N414*100/L414,0)</f>
        <v>3.7728035371175048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1">I433</f>
        <v>10</v>
      </c>
      <c r="J417" s="564">
        <f t="shared" ca="1" si="181"/>
        <v>0</v>
      </c>
      <c r="K417" s="565">
        <f t="shared" ref="K417:K418" ca="1" si="182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1"/>
        <v>1</v>
      </c>
      <c r="J418" s="564">
        <f t="shared" si="181"/>
        <v>0</v>
      </c>
      <c r="K418" s="565">
        <f t="shared" ca="1" si="182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si="183"/>
        <v>0</v>
      </c>
      <c r="N419" s="155">
        <f t="shared" si="183"/>
        <v>2860</v>
      </c>
      <c r="O419" s="155">
        <f t="shared" ref="O419:O424" ca="1" si="184">IF(L419&gt;0,N419*100/L419,0)</f>
        <v>5.241935483870968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6"/>
        <v>54560</v>
      </c>
      <c r="M421" s="93">
        <f t="shared" si="186"/>
        <v>0</v>
      </c>
      <c r="N421" s="93">
        <f t="shared" si="186"/>
        <v>2860</v>
      </c>
      <c r="O421" s="93">
        <f t="shared" ca="1" si="184"/>
        <v>5.241935483870968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si="187"/>
        <v>0</v>
      </c>
      <c r="N422" s="497">
        <f t="shared" si="187"/>
        <v>2860</v>
      </c>
      <c r="O422" s="497">
        <f t="shared" ca="1" si="184"/>
        <v>5.241935483870968</v>
      </c>
      <c r="P422" s="49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v>0</v>
      </c>
      <c r="N424" s="93">
        <f>N425+N426+N427+N428</f>
        <v>2860</v>
      </c>
      <c r="O424" s="93">
        <f t="shared" ca="1" si="184"/>
        <v>5.241935483870968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2860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2">I438+I440</f>
        <v>1</v>
      </c>
      <c r="J434" s="675">
        <f t="shared" si="192"/>
        <v>0</v>
      </c>
      <c r="K434" s="195">
        <f t="shared" ca="1" si="191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IFERROR(__xludf.DUMMYFUNCTION("IMPORTRANGE(""https://docs.google.com/spreadsheets/d/1QqKyyYR6Q21VydFLVH3TRQUabQu_ym0Zz7PgGX0-kHA/edit?usp=sharing"",""แผน!FC83"")"),10)</f>
        <v>10</v>
      </c>
      <c r="J435" s="578">
        <v>0</v>
      </c>
      <c r="K435" s="497">
        <f t="shared" ca="1" si="191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IFERROR(__xludf.DUMMYFUNCTION("IMPORTRANGE(""https://docs.google.com/spreadsheets/d/1QqKyyYR6Q21VydFLVH3TRQUabQu_ym0Zz7PgGX0-kHA/edit?usp=sharing"",""แผน!FD83"")"),0)</f>
        <v>0</v>
      </c>
      <c r="J437" s="578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IFERROR(__xludf.DUMMYFUNCTION("IMPORTRANGE(""https://docs.google.com/spreadsheets/d/1QqKyyYR6Q21VydFLVH3TRQUabQu_ym0Zz7PgGX0-kHA/edit?usp=sharing"",""แผน!FE83"")"),0)</f>
        <v>0</v>
      </c>
      <c r="J438" s="214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IFERROR(__xludf.DUMMYFUNCTION("IMPORTRANGE(""https://docs.google.com/spreadsheets/d/1QqKyyYR6Q21VydFLVH3TRQUabQu_ym0Zz7PgGX0-kHA/edit?usp=sharing"",""แผน!FF83"")"),10)</f>
        <v>10</v>
      </c>
      <c r="J439" s="578">
        <v>0</v>
      </c>
      <c r="K439" s="497">
        <f t="shared" ca="1" si="193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IFERROR(__xludf.DUMMYFUNCTION("IMPORTRANGE(""https://docs.google.com/spreadsheets/d/1QqKyyYR6Q21VydFLVH3TRQUabQu_ym0Zz7PgGX0-kHA/edit?usp=sharing"",""แผน!FG83"")"),1)</f>
        <v>1</v>
      </c>
      <c r="J440" s="214">
        <v>0</v>
      </c>
      <c r="K440" s="497">
        <f t="shared" ca="1" si="193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IFERROR(__xludf.DUMMYFUNCTION("IMPORTRANGE(""https://docs.google.com/spreadsheets/d/1QqKyyYR6Q21VydFLVH3TRQUabQu_ym0Zz7PgGX0-kHA/edit?usp=sharing"",""แผน!FH83"")"),0)</f>
        <v>0</v>
      </c>
      <c r="J441" s="269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4">I460</f>
        <v>20</v>
      </c>
      <c r="J442" s="584">
        <f t="shared" si="194"/>
        <v>0</v>
      </c>
      <c r="K442" s="585">
        <f t="shared" ca="1" si="193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5">I462</f>
        <v>40</v>
      </c>
      <c r="J443" s="564">
        <f t="shared" si="195"/>
        <v>0</v>
      </c>
      <c r="K443" s="565">
        <f t="shared" ca="1" si="193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6">L445+L446</f>
        <v>109560</v>
      </c>
      <c r="M444" s="195">
        <f t="shared" si="196"/>
        <v>0</v>
      </c>
      <c r="N444" s="195">
        <f t="shared" si="196"/>
        <v>1440</v>
      </c>
      <c r="O444" s="195">
        <f t="shared" ref="O444:O449" ca="1" si="197">IF(L444&gt;0,N444*100/L444,0)</f>
        <v>1.3143483023001095</v>
      </c>
      <c r="P444" s="195">
        <f t="shared" ref="P444:P449" si="198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199"/>
        <v>109560</v>
      </c>
      <c r="M446" s="93">
        <f t="shared" si="199"/>
        <v>0</v>
      </c>
      <c r="N446" s="93">
        <f t="shared" si="199"/>
        <v>1440</v>
      </c>
      <c r="O446" s="93">
        <f t="shared" ca="1" si="197"/>
        <v>1.3143483023001095</v>
      </c>
      <c r="P446" s="93">
        <f t="shared" si="198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109560</v>
      </c>
      <c r="M447" s="497">
        <f t="shared" si="200"/>
        <v>0</v>
      </c>
      <c r="N447" s="497">
        <f t="shared" si="200"/>
        <v>1440</v>
      </c>
      <c r="O447" s="497">
        <f t="shared" ca="1" si="197"/>
        <v>1.3143483023001095</v>
      </c>
      <c r="P447" s="497">
        <f t="shared" si="198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v>0</v>
      </c>
      <c r="N449" s="93">
        <f>N450+N451+N452+N453</f>
        <v>1440</v>
      </c>
      <c r="O449" s="93">
        <f t="shared" ca="1" si="197"/>
        <v>1.3143483023001095</v>
      </c>
      <c r="P449" s="93">
        <f t="shared" si="198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1440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IFERROR(__xludf.DUMMYFUNCTION("IMPORTRANGE(""https://docs.google.com/spreadsheets/d/1QqKyyYR6Q21VydFLVH3TRQUabQu_ym0Zz7PgGX0-kHA/edit?usp=sharing"",""แผน!FN83"")"),20)</f>
        <v>20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IFERROR(__xludf.DUMMYFUNCTION("IMPORTRANGE(""https://docs.google.com/spreadsheets/d/1QqKyyYR6Q21VydFLVH3TRQUabQu_ym0Zz7PgGX0-kHA/edit?usp=sharing"",""แผน!FO83"")"),40)</f>
        <v>40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IFERROR(__xludf.DUMMYFUNCTION("IMPORTRANGE(""https://docs.google.com/spreadsheets/d/1QqKyyYR6Q21VydFLVH3TRQUabQu_ym0Zz7PgGX0-kHA/edit?usp=sharing"",""แผน!FO83"")"),40)</f>
        <v>40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IFERROR(__xludf.DUMMYFUNCTION("IMPORTRANGE(""https://docs.google.com/spreadsheets/d/1QqKyyYR6Q21VydFLVH3TRQUabQu_ym0Zz7PgGX0-kHA/edit?usp=sharing"",""แผน!FN83"")"),20)</f>
        <v>20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IFERROR(__xludf.DUMMYFUNCTION("IMPORTRANGE(""https://docs.google.com/spreadsheets/d/1QqKyyYR6Q21VydFLVH3TRQUabQu_ym0Zz7PgGX0-kHA/edit?usp=sharing"",""แผน!FX83"")"),11)</f>
        <v>11</v>
      </c>
      <c r="J465" s="584">
        <f>J485+J489+J492</f>
        <v>0</v>
      </c>
      <c r="K465" s="585">
        <f t="shared" ref="K465:K466" ca="1" si="204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IFERROR(__xludf.DUMMYFUNCTION("IMPORTRANGE(""https://docs.google.com/spreadsheets/d/1QqKyyYR6Q21VydFLVH3TRQUabQu_ym0Zz7PgGX0-kHA/edit?usp=sharing"",""แผน!FW83"")"),100)</f>
        <v>100</v>
      </c>
      <c r="J466" s="564">
        <f>J483+J487</f>
        <v>0</v>
      </c>
      <c r="K466" s="565">
        <f t="shared" ca="1" si="204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5">L468+L469</f>
        <v>98283</v>
      </c>
      <c r="M467" s="195">
        <f t="shared" si="205"/>
        <v>0</v>
      </c>
      <c r="N467" s="195">
        <f t="shared" si="205"/>
        <v>8090</v>
      </c>
      <c r="O467" s="195">
        <f t="shared" ref="O467:O472" ca="1" si="206">IF(L467&gt;0,N467*100/L467,0)</f>
        <v>8.2313319699235876</v>
      </c>
      <c r="P467" s="195">
        <f t="shared" ref="P467:P472" si="207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8"/>
        <v>98283</v>
      </c>
      <c r="M469" s="93">
        <f t="shared" si="208"/>
        <v>0</v>
      </c>
      <c r="N469" s="93">
        <f t="shared" si="208"/>
        <v>8090</v>
      </c>
      <c r="O469" s="93">
        <f t="shared" ca="1" si="206"/>
        <v>8.2313319699235876</v>
      </c>
      <c r="P469" s="93">
        <f t="shared" si="207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98283</v>
      </c>
      <c r="M470" s="497">
        <f t="shared" si="209"/>
        <v>0</v>
      </c>
      <c r="N470" s="497">
        <f t="shared" si="209"/>
        <v>8090</v>
      </c>
      <c r="O470" s="497">
        <f t="shared" ca="1" si="206"/>
        <v>8.2313319699235876</v>
      </c>
      <c r="P470" s="497">
        <f t="shared" si="207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IFERROR(__xludf.DUMMYFUNCTION("IMPORTRANGE(""https://docs.google.com/spreadsheets/d/1QqKyyYR6Q21VydFLVH3TRQUabQu_ym0Zz7PgGX0-kHA/edit?usp=sharing"",""แผน!FS83"")"),98283)</f>
        <v>98283</v>
      </c>
      <c r="M472" s="93">
        <v>0</v>
      </c>
      <c r="N472" s="93">
        <f>N473+N474+N475+N476</f>
        <v>8090</v>
      </c>
      <c r="O472" s="93">
        <f t="shared" ca="1" si="206"/>
        <v>8.2313319699235876</v>
      </c>
      <c r="P472" s="93">
        <f t="shared" si="207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8090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IFERROR(__xludf.DUMMYFUNCTION("IMPORTRANGE(""https://docs.google.com/spreadsheets/d/1QqKyyYR6Q21VydFLVH3TRQUabQu_ym0Zz7PgGX0-kHA/edit?usp=sharing"",""แผน!FY83"")"),90)</f>
        <v>90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IFERROR(__xludf.DUMMYFUNCTION("IMPORTRANGE(""https://docs.google.com/spreadsheets/d/1QqKyyYR6Q21VydFLVH3TRQUabQu_ym0Zz7PgGX0-kHA/edit?usp=sharing"",""แผน!FZ83"")"),9)</f>
        <v>9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IFERROR(__xludf.DUMMYFUNCTION("IMPORTRANGE(""https://docs.google.com/spreadsheets/d/1QqKyyYR6Q21VydFLVH3TRQUabQu_ym0Zz7PgGX0-kHA/edit?usp=sharing"",""แผน!GA83"")"),10)</f>
        <v>10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IFERROR(__xludf.DUMMYFUNCTION("IMPORTRANGE(""https://docs.google.com/spreadsheets/d/1QqKyyYR6Q21VydFLVH3TRQUabQu_ym0Zz7PgGX0-kHA/edit?usp=sharing"",""แผน!GB83"")"),1)</f>
        <v>1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IFERROR(__xludf.DUMMYFUNCTION("IMPORTRANGE(""https://docs.google.com/spreadsheets/d/1QqKyyYR6Q21VydFLVH3TRQUabQu_ym0Zz7PgGX0-kHA/edit?usp=sharing"",""แผน!GC83"")"),1)</f>
        <v>1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IFERROR(__xludf.DUMMYFUNCTION("IMPORTRANGE(""https://docs.google.com/spreadsheets/d/1QqKyyYR6Q21VydFLVH3TRQUabQu_ym0Zz7PgGX0-kHA/edit?usp=sharing"",""แผน!FY83"")"),90)</f>
        <v>90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IFERROR(__xludf.DUMMYFUNCTION("IMPORTRANGE(""https://docs.google.com/spreadsheets/d/1QqKyyYR6Q21VydFLVH3TRQUabQu_ym0Zz7PgGX0-kHA/edit?usp=sharing"",""แผน!GA83"")"),10)</f>
        <v>10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3">J516</f>
        <v>0</v>
      </c>
      <c r="K500" s="628">
        <f t="shared" ref="K500:K501" si="214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3"/>
        <v>0</v>
      </c>
      <c r="K501" s="637">
        <f t="shared" si="214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5">L503+L504</f>
        <v>0</v>
      </c>
      <c r="M502" s="641">
        <f t="shared" si="215"/>
        <v>0</v>
      </c>
      <c r="N502" s="641">
        <f t="shared" si="215"/>
        <v>0</v>
      </c>
      <c r="O502" s="641">
        <f t="shared" ref="O502:O507" si="216">IF(L502&gt;0,N502*100/L502,0)</f>
        <v>0</v>
      </c>
      <c r="P502" s="641">
        <f t="shared" ref="P502:P507" si="217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3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4">I537</f>
        <v>0</v>
      </c>
      <c r="J522" s="700">
        <f t="shared" ca="1" si="224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IFERROR(__xludf.DUMMYFUNCTION("IMPORTRANGE(""https://docs.google.com/spreadsheets/d/1QqKyyYR6Q21VydFLVH3TRQUabQu_ym0Zz7PgGX0-kHA/edit?usp=sharing"",""แผน!GU83"")"),0)</f>
        <v>0</v>
      </c>
      <c r="J537" s="675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IFERROR(__xludf.DUMMYFUNCTION("IMPORTRANGE(""https://docs.google.com/spreadsheets/d/1QqKyyYR6Q21VydFLVH3TRQUabQu_ym0Zz7PgGX0-kHA/edit?usp=sharing"",""แผน!GV83"")"),0)</f>
        <v>0</v>
      </c>
      <c r="J538" s="214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IFERROR(__xludf.DUMMYFUNCTION("IMPORTRANGE(""https://docs.google.com/spreadsheets/d/1QqKyyYR6Q21VydFLVH3TRQUabQu_ym0Zz7PgGX0-kHA/edit?usp=sharing"",""แผน!GW83"")"),0)</f>
        <v>0</v>
      </c>
      <c r="J539" s="214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IFERROR(__xludf.DUMMYFUNCTION("IMPORTRANGE(""https://docs.google.com/spreadsheets/d/1QqKyyYR6Q21VydFLVH3TRQUabQu_ym0Zz7PgGX0-kHA/edit?usp=sharing"",""แผน!GX83"")"),0)</f>
        <v>0</v>
      </c>
      <c r="J540" s="214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IFERROR(__xludf.DUMMYFUNCTION("IMPORTRANGE(""https://docs.google.com/spreadsheets/d/1QqKyyYR6Q21VydFLVH3TRQUabQu_ym0Zz7PgGX0-kHA/edit?usp=sharing"",""แผน!GY83"")"),0)</f>
        <v>0</v>
      </c>
      <c r="J541" s="214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IFERROR(__xludf.DUMMYFUNCTION("IMPORTRANGE(""https://docs.google.com/spreadsheets/d/1QqKyyYR6Q21VydFLVH3TRQUabQu_ym0Zz7PgGX0-kHA/edit?usp=sharing"",""แผน!GZ83"")"),0)</f>
        <v>0</v>
      </c>
      <c r="J542" s="214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4">I559</f>
        <v>0</v>
      </c>
      <c r="J543" s="681">
        <f t="shared" si="234"/>
        <v>0</v>
      </c>
      <c r="K543" s="682">
        <f t="shared" ca="1" si="233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5">L545+L546</f>
        <v>66000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8"/>
        <v>66000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66000</v>
      </c>
      <c r="M547" s="497">
        <f t="shared" si="240"/>
        <v>0</v>
      </c>
      <c r="N547" s="497">
        <f t="shared" si="240"/>
        <v>0</v>
      </c>
      <c r="O547" s="497">
        <f t="shared" ca="1" si="236"/>
        <v>0</v>
      </c>
      <c r="P547" s="497">
        <f t="shared" si="237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IFERROR(__xludf.DUMMYFUNCTION("IMPORTRANGE(""https://docs.google.com/spreadsheets/d/1QqKyyYR6Q21VydFLVH3TRQUabQu_ym0Zz7PgGX0-kHA/edit?usp=sharing"",""แผน!HB83"")"),66000)</f>
        <v>66000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 hidden="1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4">I576</f>
        <v>0</v>
      </c>
      <c r="J559" s="700">
        <f t="shared" si="244"/>
        <v>0</v>
      </c>
      <c r="K559" s="671">
        <f t="shared" ref="K559:K561" ca="1" si="245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75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75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75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75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1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2">I593</f>
        <v>0</v>
      </c>
      <c r="J592" s="700">
        <f t="shared" si="252"/>
        <v>0</v>
      </c>
      <c r="K592" s="671">
        <f t="shared" ref="K592:K594" ca="1" si="253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 hidden="1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IFERROR(__xludf.DUMMYFUNCTION("IMPORTRANGE(""https://docs.google.com/spreadsheets/d/1QqKyyYR6Q21VydFLVH3TRQUabQu_ym0Zz7PgGX0-kHA/edit?usp=sharing"",""แผน!HJ83"")"),0)</f>
        <v>0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 hidden="1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IFERROR(__xludf.DUMMYFUNCTION("IMPORTRANGE(""https://docs.google.com/spreadsheets/d/1QqKyyYR6Q21VydFLVH3TRQUabQu_ym0Zz7PgGX0-kHA/edit?usp=sharing"",""แผน!HI83"")"),0)</f>
        <v>0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 hidden="1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 hidden="1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 hidden="1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 hidden="1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 hidden="1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 hidden="1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 hidden="1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 hidden="1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 hidden="1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 hidden="1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 hidden="1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 hidden="1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 hidden="1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 hidden="1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 hidden="1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 hidden="1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7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8">J614+J616</f>
        <v>0</v>
      </c>
      <c r="K612" s="709">
        <f t="shared" si="257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8"/>
        <v>0</v>
      </c>
      <c r="K613" s="709">
        <f t="shared" si="257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IFERROR(__xludf.DUMMYFUNCTION("IMPORTRANGE(""https://docs.google.com/spreadsheets/d/1QqKyyYR6Q21VydFLVH3TRQUabQu_ym0Zz7PgGX0-kHA/edit?usp=sharing"",""แผน!HL83"")"),0)</f>
        <v>0</v>
      </c>
      <c r="J620" s="720">
        <f t="shared" ref="J620:J621" si="259">J622+J624+J626</f>
        <v>0</v>
      </c>
      <c r="K620" s="721">
        <f t="shared" ref="K620:K621" ca="1" si="260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IFERROR(__xludf.DUMMYFUNCTION("IMPORTRANGE(""https://docs.google.com/spreadsheets/d/1QqKyyYR6Q21VydFLVH3TRQUabQu_ym0Zz7PgGX0-kHA/edit?usp=sharing"",""แผน!HK83"")"),0)</f>
        <v>0</v>
      </c>
      <c r="J621" s="720">
        <f t="shared" si="259"/>
        <v>0</v>
      </c>
      <c r="K621" s="721">
        <f t="shared" ca="1" si="260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1">I651</f>
        <v>0</v>
      </c>
      <c r="J628" s="733">
        <f t="shared" ca="1" si="261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IFERROR(__xludf.DUMMYFUNCTION("IMPORTRANGE(""https://docs.google.com/spreadsheets/d/1QqKyyYR6Q21VydFLVH3TRQUabQu_ym0Zz7PgGX0-kHA/edit?usp=sharing"",""แผน!HR83"")"),0)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IFERROR(__xludf.DUMMYFUNCTION("IMPORTRANGE(""https://docs.google.com/spreadsheets/d/1QqKyyYR6Q21VydFLVH3TRQUabQu_ym0Zz7PgGX0-kHA/edit?usp=sharing"",""แผน!HR83"")"),0)</f>
        <v>0</v>
      </c>
      <c r="J644" s="214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IFERROR(__xludf.DUMMYFUNCTION("IMPORTRANGE(""https://docs.google.com/spreadsheets/d/1XWAQStnk-4SwqDmLtmXYiTMKHgktTP8We1SCoS47DrQ/edit?usp=sharing"",""จัดที่ดิน!AT83"")"),0)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IFERROR(__xludf.DUMMYFUNCTION("IMPORTRANGE(""https://docs.google.com/spreadsheets/d/1QqKyyYR6Q21VydFLVH3TRQUabQu_ym0Zz7PgGX0-kHA/edit?usp=sharing"",""แผน!HS83"")"),0)</f>
        <v>0</v>
      </c>
      <c r="J647" s="269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IFERROR(__xludf.DUMMYFUNCTION("IMPORTRANGE(""https://docs.google.com/spreadsheets/d/1XWAQStnk-4SwqDmLtmXYiTMKHgktTP8We1SCoS47DrQ/edit?usp=sharing"",""จัดที่ดิน!AV83"")"),0)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IFERROR(__xludf.DUMMYFUNCTION("IMPORTRANGE(""https://docs.google.com/spreadsheets/d/1QqKyyYR6Q21VydFLVH3TRQUabQu_ym0Zz7PgGX0-kHA/edit?usp=sharing"",""แผน!HS83"")"),0)</f>
        <v>0</v>
      </c>
      <c r="J649" s="269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IFERROR(__xludf.DUMMYFUNCTION("IMPORTRANGE(""https://docs.google.com/spreadsheets/d/1XWAQStnk-4SwqDmLtmXYiTMKHgktTP8We1SCoS47DrQ/edit?usp=sharing"",""จัดที่ดิน!AX83"")"),0)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IFERROR(__xludf.DUMMYFUNCTION("IMPORTRANGE(""https://docs.google.com/spreadsheets/d/1QqKyyYR6Q21VydFLVH3TRQUabQu_ym0Zz7PgGX0-kHA/edit?usp=sharing"",""แผน!HS83"")"),0)</f>
        <v>0</v>
      </c>
      <c r="J651" s="269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IFERROR(__xludf.DUMMYFUNCTION("IMPORTRANGE(""https://docs.google.com/spreadsheets/d/1XWAQStnk-4SwqDmLtmXYiTMKHgktTP8We1SCoS47DrQ/edit?usp=sharing"",""จัดที่ดิน!AZ83"")"),0)</f>
        <v>0</v>
      </c>
      <c r="K652" s="501">
        <f t="shared" si="270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1">I669</f>
        <v>0</v>
      </c>
      <c r="J654" s="700">
        <f t="shared" si="271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IFERROR(__xludf.DUMMYFUNCTION("IMPORTRANGE(""https://docs.google.com/spreadsheets/d/1QqKyyYR6Q21VydFLVH3TRQUabQu_ym0Zz7PgGX0-kHA/edit?usp=sharing"",""แผน!IA83"")"),0)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IFERROR(__xludf.DUMMYFUNCTION("IMPORTRANGE(""https://docs.google.com/spreadsheets/d/1QqKyyYR6Q21VydFLVH3TRQUabQu_ym0Zz7PgGX0-kHA/edit?usp=sharing"",""แผน!HZ83"")"),0)</f>
        <v>0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IFERROR(__xludf.DUMMYFUNCTION("IMPORTRANGE(""https://docs.google.com/spreadsheets/d/1QqKyyYR6Q21VydFLVH3TRQUabQu_ym0Zz7PgGX0-kHA/edit?usp=sharing"",""แผน!HZ83"")"),0)</f>
        <v>0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IFERROR(__xludf.DUMMYFUNCTION("IMPORTRANGE(""https://docs.google.com/spreadsheets/d/1QqKyyYR6Q21VydFLVH3TRQUabQu_ym0Zz7PgGX0-kHA/edit?usp=sharing"",""แผน!IB83"")"),0)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0</v>
      </c>
      <c r="M688" s="497">
        <f t="shared" si="285"/>
        <v>0</v>
      </c>
      <c r="N688" s="497">
        <f t="shared" si="285"/>
        <v>0</v>
      </c>
      <c r="O688" s="497">
        <f t="shared" ca="1" si="282"/>
        <v>0</v>
      </c>
      <c r="P688" s="497">
        <f t="shared" si="283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IFERROR(__xludf.DUMMYFUNCTION("IMPORTRANGE(""https://docs.google.com/spreadsheets/d/1QqKyyYR6Q21VydFLVH3TRQUabQu_ym0Zz7PgGX0-kHA/edit?usp=sharing"",""แผน!IC83"")"),0)</f>
        <v>0</v>
      </c>
      <c r="J699" s="269">
        <f ca="1">IFERROR(__xludf.DUMMYFUNCTION("IMPORTRANGE(""https://docs.google.com/spreadsheets/d/1XWAQStnk-4SwqDmLtmXYiTMKHgktTP8We1SCoS47DrQ/edit?usp=sharing"",""จัดที่ดิน!BB83"")"),0)</f>
        <v>0</v>
      </c>
      <c r="K699" s="497">
        <f t="shared" ref="K699:K701" ca="1" si="289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IFERROR(__xludf.DUMMYFUNCTION("IMPORTRANGE(""https://docs.google.com/spreadsheets/d/1QqKyyYR6Q21VydFLVH3TRQUabQu_ym0Zz7PgGX0-kHA/edit?usp=sharing"",""แผน!ID83"")"),0)</f>
        <v>0</v>
      </c>
      <c r="J700" s="269">
        <f ca="1">IFERROR(__xludf.DUMMYFUNCTION("IMPORTRANGE(""https://docs.google.com/spreadsheets/d/1XWAQStnk-4SwqDmLtmXYiTMKHgktTP8We1SCoS47DrQ/edit?usp=sharing"",""จัดที่ดิน!BD83"")"),0)</f>
        <v>0</v>
      </c>
      <c r="K700" s="497">
        <f t="shared" ca="1" si="289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IFERROR(__xludf.DUMMYFUNCTION("IMPORTRANGE(""https://docs.google.com/spreadsheets/d/1QqKyyYR6Q21VydFLVH3TRQUabQu_ym0Zz7PgGX0-kHA/edit?usp=sharing"",""แผน!IE83"")"),0)</f>
        <v>0</v>
      </c>
      <c r="J701" s="675">
        <f>J704+J707</f>
        <v>0</v>
      </c>
      <c r="K701" s="195">
        <f t="shared" ca="1" si="289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IFERROR(__xludf.DUMMYFUNCTION("IMPORTRANGE(""https://docs.google.com/spreadsheets/d/1QqKyyYR6Q21VydFLVH3TRQUabQu_ym0Zz7PgGX0-kHA/edit?usp=sharing"",""แผน!IF83"")"),0)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IFERROR(__xludf.DUMMYFUNCTION("IMPORTRANGE(""https://docs.google.com/spreadsheets/d/1QqKyyYR6Q21VydFLVH3TRQUabQu_ym0Zz7PgGX0-kHA/edit?usp=sharing"",""แผน!IG83"")"),0)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IFERROR(__xludf.DUMMYFUNCTION("IMPORTRANGE(""https://docs.google.com/spreadsheets/d/1QqKyyYR6Q21VydFLVH3TRQUabQu_ym0Zz7PgGX0-kHA/edit?usp=sharing"",""แผน!IH83"")"),0)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IFERROR(__xludf.DUMMYFUNCTION("IMPORTRANGE(""https://docs.google.com/spreadsheets/d/1XWAQStnk-4SwqDmLtmXYiTMKHgktTP8We1SCoS47DrQ/edit?usp=sharing"",""จัดที่ดิน!BF83"")"),0)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IFERROR(__xludf.DUMMYFUNCTION("IMPORTRANGE(""https://docs.google.com/spreadsheets/d/1XWAQStnk-4SwqDmLtmXYiTMKHgktTP8We1SCoS47DrQ/edit?usp=sharing"",""จัดที่ดิน!BG83"")"),0)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IFERROR(__xludf.DUMMYFUNCTION("IMPORTRANGE(""https://docs.google.com/spreadsheets/d/1QqKyyYR6Q21VydFLVH3TRQUabQu_ym0Zz7PgGX0-kHA/edit?usp=sharing"",""แผน!II83"")"),0)</f>
        <v>0</v>
      </c>
      <c r="J720" s="269">
        <f ca="1">IFERROR(__xludf.DUMMYFUNCTION("IMPORTRANGE(""https://docs.google.com/spreadsheets/d/1XWAQStnk-4SwqDmLtmXYiTMKHgktTP8We1SCoS47DrQ/edit?usp=sharing"",""จัดที่ดิน!BH83"")"),0)</f>
        <v>0</v>
      </c>
      <c r="K720" s="497">
        <f t="shared" ref="K720:K723" ca="1" si="290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IFERROR(__xludf.DUMMYFUNCTION("IMPORTRANGE(""https://docs.google.com/spreadsheets/d/1QqKyyYR6Q21VydFLVH3TRQUabQu_ym0Zz7PgGX0-kHA/edit?usp=sharing"",""แผน!IJ83"")"),0)</f>
        <v>0</v>
      </c>
      <c r="J721" s="675">
        <f ca="1">J723+J726</f>
        <v>0</v>
      </c>
      <c r="K721" s="195">
        <f t="shared" ca="1" si="290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IFERROR(__xludf.DUMMYFUNCTION("IMPORTRANGE(""https://docs.google.com/spreadsheets/d/1QqKyyYR6Q21VydFLVH3TRQUabQu_ym0Zz7PgGX0-kHA/edit?usp=sharing"",""แผน!IK83"")"),0)</f>
        <v>0</v>
      </c>
      <c r="J722" s="675">
        <f ca="1">J725+J728</f>
        <v>0</v>
      </c>
      <c r="K722" s="195">
        <f t="shared" ca="1" si="290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IFERROR(__xludf.DUMMYFUNCTION("IMPORTRANGE(""https://docs.google.com/spreadsheets/d/1QqKyyYR6Q21VydFLVH3TRQUabQu_ym0Zz7PgGX0-kHA/edit?usp=sharing"",""แผน!IL83"")"),0)</f>
        <v>0</v>
      </c>
      <c r="J723" s="269">
        <f ca="1">IFERROR(__xludf.DUMMYFUNCTION("IMPORTRANGE(""https://docs.google.com/spreadsheets/d/1XWAQStnk-4SwqDmLtmXYiTMKHgktTP8We1SCoS47DrQ/edit?usp=sharing"",""จัดที่ดิน!BM83"")"),0)</f>
        <v>0</v>
      </c>
      <c r="K723" s="497">
        <f t="shared" ca="1" si="290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IFERROR(__xludf.DUMMYFUNCTION("IMPORTRANGE(""https://docs.google.com/spreadsheets/d/1XWAQStnk-4SwqDmLtmXYiTMKHgktTP8We1SCoS47DrQ/edit?usp=sharing"",""จัดที่ดิน!BN83"")"),0)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IFERROR(__xludf.DUMMYFUNCTION("IMPORTRANGE(""https://docs.google.com/spreadsheets/d/1QqKyyYR6Q21VydFLVH3TRQUabQu_ym0Zz7PgGX0-kHA/edit?usp=sharing"",""แผน!IM83"")"),0)</f>
        <v>0</v>
      </c>
      <c r="J725" s="269">
        <f ca="1">IFERROR(__xludf.DUMMYFUNCTION("IMPORTRANGE(""https://docs.google.com/spreadsheets/d/1XWAQStnk-4SwqDmLtmXYiTMKHgktTP8We1SCoS47DrQ/edit?usp=sharing"",""จัดที่ดิน!BO83"")"),0)</f>
        <v>0</v>
      </c>
      <c r="K725" s="497">
        <f t="shared" ref="K725:K726" ca="1" si="291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IFERROR(__xludf.DUMMYFUNCTION("IMPORTRANGE(""https://docs.google.com/spreadsheets/d/1QqKyyYR6Q21VydFLVH3TRQUabQu_ym0Zz7PgGX0-kHA/edit?usp=sharing"",""แผน!IN83"")"),0)</f>
        <v>0</v>
      </c>
      <c r="J726" s="269">
        <f ca="1">IFERROR(__xludf.DUMMYFUNCTION("IMPORTRANGE(""https://docs.google.com/spreadsheets/d/1XWAQStnk-4SwqDmLtmXYiTMKHgktTP8We1SCoS47DrQ/edit?usp=sharing"",""จัดที่ดิน!BR83"")"),0)</f>
        <v>0</v>
      </c>
      <c r="K726" s="497">
        <f t="shared" ca="1" si="291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IFERROR(__xludf.DUMMYFUNCTION("IMPORTRANGE(""https://docs.google.com/spreadsheets/d/1XWAQStnk-4SwqDmLtmXYiTMKHgktTP8We1SCoS47DrQ/edit?usp=sharing"",""จัดที่ดิน!BS83"")"),0)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IFERROR(__xludf.DUMMYFUNCTION("IMPORTRANGE(""https://docs.google.com/spreadsheets/d/1QqKyyYR6Q21VydFLVH3TRQUabQu_ym0Zz7PgGX0-kHA/edit?usp=sharing"",""แผน!IO83"")"),0)</f>
        <v>0</v>
      </c>
      <c r="J728" s="269">
        <f ca="1">IFERROR(__xludf.DUMMYFUNCTION("IMPORTRANGE(""https://docs.google.com/spreadsheets/d/1XWAQStnk-4SwqDmLtmXYiTMKHgktTP8We1SCoS47DrQ/edit?usp=sharing"",""จัดที่ดิน!BT83"")"),0)</f>
        <v>0</v>
      </c>
      <c r="K728" s="497">
        <f t="shared" ref="K728:K729" ca="1" si="292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IFERROR(__xludf.DUMMYFUNCTION("IMPORTRANGE(""https://docs.google.com/spreadsheets/d/1QqKyyYR6Q21VydFLVH3TRQUabQu_ym0Zz7PgGX0-kHA/edit?usp=sharing"",""แผน!IP83"")"),0)</f>
        <v>0</v>
      </c>
      <c r="J729" s="675">
        <f>J732+J735</f>
        <v>0</v>
      </c>
      <c r="K729" s="195">
        <f t="shared" ca="1" si="292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3">L738+L739</f>
        <v>0</v>
      </c>
      <c r="M737" s="641">
        <f t="shared" si="293"/>
        <v>0</v>
      </c>
      <c r="N737" s="641">
        <f t="shared" si="293"/>
        <v>0</v>
      </c>
      <c r="O737" s="641">
        <f t="shared" ref="O737:O742" si="294">IF(L737&gt;0,N737*100/L737,0)</f>
        <v>0</v>
      </c>
      <c r="P737" s="641">
        <f t="shared" ref="P737:P742" si="29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7">L741+L742</f>
        <v>0</v>
      </c>
      <c r="M740" s="641">
        <f t="shared" si="297"/>
        <v>0</v>
      </c>
      <c r="N740" s="641">
        <f t="shared" si="297"/>
        <v>0</v>
      </c>
      <c r="O740" s="641">
        <f t="shared" si="294"/>
        <v>0</v>
      </c>
      <c r="P740" s="641">
        <f t="shared" si="29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8">L748+L749</f>
        <v>0</v>
      </c>
      <c r="M747" s="641">
        <f t="shared" si="298"/>
        <v>0</v>
      </c>
      <c r="N747" s="641">
        <f t="shared" si="298"/>
        <v>0</v>
      </c>
      <c r="O747" s="641">
        <f t="shared" ref="O747:O749" si="299">IF(L747&gt;0,N747*100/L747,0)</f>
        <v>0</v>
      </c>
      <c r="P747" s="641">
        <f t="shared" ref="P747:P749" si="300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1">L755+L756</f>
        <v>0</v>
      </c>
      <c r="M754" s="641">
        <f t="shared" si="301"/>
        <v>0</v>
      </c>
      <c r="N754" s="641">
        <f t="shared" si="301"/>
        <v>0</v>
      </c>
      <c r="O754" s="641">
        <f t="shared" ref="O754:O759" si="302">IF(L754&gt;0,N754*100/L754,0)</f>
        <v>0</v>
      </c>
      <c r="P754" s="641">
        <f t="shared" ref="P754:P759" si="303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5">L758+L759</f>
        <v>0</v>
      </c>
      <c r="M757" s="641">
        <f t="shared" si="305"/>
        <v>0</v>
      </c>
      <c r="N757" s="641">
        <f t="shared" si="305"/>
        <v>0</v>
      </c>
      <c r="O757" s="641">
        <f t="shared" si="302"/>
        <v>0</v>
      </c>
      <c r="P757" s="641">
        <f t="shared" si="303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6">L765+L766</f>
        <v>0</v>
      </c>
      <c r="M764" s="641">
        <f t="shared" si="306"/>
        <v>0</v>
      </c>
      <c r="N764" s="641">
        <f t="shared" si="306"/>
        <v>0</v>
      </c>
      <c r="O764" s="641">
        <f t="shared" ref="O764:O766" si="307">IF(L764&gt;0,N764*100/L764,0)</f>
        <v>0</v>
      </c>
      <c r="P764" s="641">
        <f t="shared" ref="P764:P766" si="308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09">L771+L772</f>
        <v>0</v>
      </c>
      <c r="M770" s="641">
        <f t="shared" si="309"/>
        <v>0</v>
      </c>
      <c r="N770" s="641">
        <f t="shared" si="309"/>
        <v>0</v>
      </c>
      <c r="O770" s="641">
        <f t="shared" ref="O770:O775" si="310">IF(L770&gt;0,N770*100/L770,0)</f>
        <v>0</v>
      </c>
      <c r="P770" s="641">
        <f t="shared" ref="P770:P775" si="311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3">L774+L775</f>
        <v>0</v>
      </c>
      <c r="M773" s="641">
        <f t="shared" si="313"/>
        <v>0</v>
      </c>
      <c r="N773" s="641">
        <f t="shared" si="313"/>
        <v>0</v>
      </c>
      <c r="O773" s="641">
        <f t="shared" si="310"/>
        <v>0</v>
      </c>
      <c r="P773" s="641">
        <f t="shared" si="311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4">L781+L782</f>
        <v>0</v>
      </c>
      <c r="M780" s="641">
        <f t="shared" si="314"/>
        <v>0</v>
      </c>
      <c r="N780" s="641">
        <f t="shared" si="314"/>
        <v>0</v>
      </c>
      <c r="O780" s="641">
        <f t="shared" ref="O780:O782" si="315">IF(L780&gt;0,N780*100/L780,0)</f>
        <v>0</v>
      </c>
      <c r="P780" s="641">
        <f t="shared" ref="P780:P782" si="316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7">I800</f>
        <v>0</v>
      </c>
      <c r="J785" s="800">
        <f t="shared" ca="1" si="317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IFERROR(__xludf.DUMMYFUNCTION("IMPORTRANGE(""https://docs.google.com/spreadsheets/d/1MaWodYyGHDf7siQLGxnXhG4mBNTNIuy296niS2xXulU/edit?usp=sharing"",""RTK!I83"")"),0)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6">L806+L807</f>
        <v>0</v>
      </c>
      <c r="M805" s="641">
        <f t="shared" si="326"/>
        <v>0</v>
      </c>
      <c r="N805" s="641">
        <f t="shared" si="326"/>
        <v>0</v>
      </c>
      <c r="O805" s="641">
        <f t="shared" ref="O805:O810" si="327">IF(L805&gt;0,N805*100/L805,0)</f>
        <v>0</v>
      </c>
      <c r="P805" s="641">
        <f t="shared" ref="P805:P810" si="328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0">L809+L810</f>
        <v>0</v>
      </c>
      <c r="M808" s="641">
        <f t="shared" si="330"/>
        <v>0</v>
      </c>
      <c r="N808" s="641">
        <f t="shared" si="330"/>
        <v>0</v>
      </c>
      <c r="O808" s="641">
        <f t="shared" si="327"/>
        <v>0</v>
      </c>
      <c r="P808" s="641">
        <f t="shared" si="328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1">L816+L817</f>
        <v>0</v>
      </c>
      <c r="M815" s="641">
        <f t="shared" si="331"/>
        <v>0</v>
      </c>
      <c r="N815" s="641">
        <f t="shared" si="331"/>
        <v>0</v>
      </c>
      <c r="O815" s="641">
        <f t="shared" ref="O815:O817" si="332">IF(L815&gt;0,N815*100/L815,0)</f>
        <v>0</v>
      </c>
      <c r="P815" s="641">
        <f t="shared" ref="P815:P817" si="333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341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IFERROR(__xludf.DUMMYFUNCTION("IMPORTRANGE(""https://docs.google.com/spreadsheets/d/19vJNZY_5yjcGF2XGBMNZRCAIB0Kwfpjp8YEOfu-bneM/edit?usp=sharing"",""งานกองทุน!D83"")"),634189.47)</f>
        <v>634189.47</v>
      </c>
      <c r="J821" s="269">
        <f ca="1">IFERROR(__xludf.DUMMYFUNCTION("IMPORTRANGE(""https://docs.google.com/spreadsheets/d/19vJNZY_5yjcGF2XGBMNZRCAIB0Kwfpjp8YEOfu-bneM/edit?usp=sharing"",""งานกองทุน!F83"")"),2808.89)</f>
        <v>2808.89</v>
      </c>
      <c r="K821" s="497">
        <f t="shared" ref="K821:K828" ca="1" si="334">IF(I821&gt;0,J821*100/I821,0)</f>
        <v>0.44291022365918503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IFERROR(__xludf.DUMMYFUNCTION("IMPORTRANGE(""https://docs.google.com/spreadsheets/d/19vJNZY_5yjcGF2XGBMNZRCAIB0Kwfpjp8YEOfu-bneM/edit?usp=sharing"",""งานกองทุน!C83"")"),33)</f>
        <v>33</v>
      </c>
      <c r="J822" s="269">
        <f ca="1">IFERROR(__xludf.DUMMYFUNCTION("IMPORTRANGE(""https://docs.google.com/spreadsheets/d/19vJNZY_5yjcGF2XGBMNZRCAIB0Kwfpjp8YEOfu-bneM/edit?usp=sharing"",""งานกองทุน!E83"")"),1)</f>
        <v>1</v>
      </c>
      <c r="K822" s="497">
        <f t="shared" ca="1" si="334"/>
        <v>3.0303030303030303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IFERROR(__xludf.DUMMYFUNCTION("IMPORTRANGE(""https://docs.google.com/spreadsheets/d/19vJNZY_5yjcGF2XGBMNZRCAIB0Kwfpjp8YEOfu-bneM/edit?usp=sharing"",""งานกองทุน!I83"")"),124253.42)</f>
        <v>124253.42</v>
      </c>
      <c r="J823" s="269">
        <f ca="1">IFERROR(__xludf.DUMMYFUNCTION("IMPORTRANGE(""https://docs.google.com/spreadsheets/d/19vJNZY_5yjcGF2XGBMNZRCAIB0Kwfpjp8YEOfu-bneM/edit?usp=sharing"",""งานกองทุน!K83"")"),18116.43)</f>
        <v>18116.43</v>
      </c>
      <c r="K823" s="497">
        <f t="shared" ca="1" si="334"/>
        <v>14.580226443666501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IFERROR(__xludf.DUMMYFUNCTION("IMPORTRANGE(""https://docs.google.com/spreadsheets/d/19vJNZY_5yjcGF2XGBMNZRCAIB0Kwfpjp8YEOfu-bneM/edit?usp=sharing"",""งานกองทุน!H83"")"),4)</f>
        <v>4</v>
      </c>
      <c r="J824" s="269">
        <f ca="1">IFERROR(__xludf.DUMMYFUNCTION("IMPORTRANGE(""https://docs.google.com/spreadsheets/d/19vJNZY_5yjcGF2XGBMNZRCAIB0Kwfpjp8YEOfu-bneM/edit?usp=sharing"",""งานกองทุน!J83"")"),2)</f>
        <v>2</v>
      </c>
      <c r="K824" s="497">
        <f t="shared" ca="1" si="334"/>
        <v>50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IFERROR(__xludf.DUMMYFUNCTION("IMPORTRANGE(""https://docs.google.com/spreadsheets/d/19vJNZY_5yjcGF2XGBMNZRCAIB0Kwfpjp8YEOfu-bneM/edit?usp=sharing"",""งานกองทุน!N83"")"),0)</f>
        <v>0</v>
      </c>
      <c r="J825" s="269">
        <f ca="1">IFERROR(__xludf.DUMMYFUNCTION("IMPORTRANGE(""https://docs.google.com/spreadsheets/d/19vJNZY_5yjcGF2XGBMNZRCAIB0Kwfpjp8YEOfu-bneM/edit?usp=sharing"",""งานกองทุน!P83"")"),0)</f>
        <v>0</v>
      </c>
      <c r="K825" s="497">
        <f t="shared" ca="1" si="334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IFERROR(__xludf.DUMMYFUNCTION("IMPORTRANGE(""https://docs.google.com/spreadsheets/d/19vJNZY_5yjcGF2XGBMNZRCAIB0Kwfpjp8YEOfu-bneM/edit?usp=sharing"",""งานกองทุน!M83"")"),0)</f>
        <v>0</v>
      </c>
      <c r="J826" s="269">
        <f ca="1">IFERROR(__xludf.DUMMYFUNCTION("IMPORTRANGE(""https://docs.google.com/spreadsheets/d/19vJNZY_5yjcGF2XGBMNZRCAIB0Kwfpjp8YEOfu-bneM/edit?usp=sharing"",""งานกองทุน!O83"")"),0)</f>
        <v>0</v>
      </c>
      <c r="K826" s="497">
        <f t="shared" ca="1" si="334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IFERROR(__xludf.DUMMYFUNCTION("IMPORTRANGE(""https://docs.google.com/spreadsheets/d/19vJNZY_5yjcGF2XGBMNZRCAIB0Kwfpjp8YEOfu-bneM/edit?usp=sharing"",""งานกองทุน!S83"")"),200000)</f>
        <v>200000</v>
      </c>
      <c r="J827" s="269">
        <f ca="1">IFERROR(__xludf.DUMMYFUNCTION("IMPORTRANGE(""https://docs.google.com/spreadsheets/d/19vJNZY_5yjcGF2XGBMNZRCAIB0Kwfpjp8YEOfu-bneM/edit?usp=sharing"",""งานกองทุน!U83"")"),50000)</f>
        <v>50000</v>
      </c>
      <c r="K827" s="497">
        <f t="shared" ca="1" si="334"/>
        <v>25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IFERROR(__xludf.DUMMYFUNCTION("IMPORTRANGE(""https://docs.google.com/spreadsheets/d/19vJNZY_5yjcGF2XGBMNZRCAIB0Kwfpjp8YEOfu-bneM/edit?usp=sharing"",""งานกองทุน!R83"")"),8)</f>
        <v>8</v>
      </c>
      <c r="J828" s="500">
        <f ca="1">IFERROR(__xludf.DUMMYFUNCTION("IMPORTRANGE(""https://docs.google.com/spreadsheets/d/19vJNZY_5yjcGF2XGBMNZRCAIB0Kwfpjp8YEOfu-bneM/edit?usp=sharing"",""งานกองทุน!T83"")"),1)</f>
        <v>1</v>
      </c>
      <c r="K828" s="501">
        <f t="shared" ca="1" si="334"/>
        <v>12.5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802-7605-4C66-BC6C-F32DFD778F6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192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1.285156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349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2863750</v>
      </c>
      <c r="M8" s="22">
        <f t="shared" ca="1" si="0"/>
        <v>1126370</v>
      </c>
      <c r="N8" s="22">
        <f t="shared" ca="1" si="0"/>
        <v>724276.92999999993</v>
      </c>
      <c r="O8" s="22">
        <f t="shared" ref="O8:O16" ca="1" si="1">IF(L8&gt;0,N8*100/L8,0)</f>
        <v>25.291206634657353</v>
      </c>
      <c r="P8" s="22">
        <f t="shared" ref="P8:P16" ca="1" si="2">IF(M8&gt;0,N8*100/M8,0)</f>
        <v>64.301866171861818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2863750</v>
      </c>
      <c r="M10" s="30">
        <f t="shared" ca="1" si="3"/>
        <v>1126370</v>
      </c>
      <c r="N10" s="30">
        <f t="shared" ca="1" si="3"/>
        <v>724276.92999999993</v>
      </c>
      <c r="O10" s="30">
        <f t="shared" ca="1" si="1"/>
        <v>25.291206634657353</v>
      </c>
      <c r="P10" s="30">
        <f t="shared" ca="1" si="2"/>
        <v>64.301866171861818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2701950</v>
      </c>
      <c r="M11" s="497">
        <f t="shared" ca="1" si="4"/>
        <v>964570</v>
      </c>
      <c r="N11" s="497">
        <f t="shared" ca="1" si="4"/>
        <v>562476.92999999993</v>
      </c>
      <c r="O11" s="497">
        <f t="shared" ca="1" si="1"/>
        <v>20.817444068172982</v>
      </c>
      <c r="P11" s="497">
        <f t="shared" ca="1" si="2"/>
        <v>58.313749131737453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2701950</v>
      </c>
      <c r="M13" s="93">
        <f t="shared" ca="1" si="5"/>
        <v>964570</v>
      </c>
      <c r="N13" s="93">
        <f t="shared" ca="1" si="5"/>
        <v>562476.92999999993</v>
      </c>
      <c r="O13" s="93">
        <f t="shared" ca="1" si="1"/>
        <v>20.817444068172982</v>
      </c>
      <c r="P13" s="93">
        <f t="shared" ca="1" si="2"/>
        <v>58.313749131737453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161800</v>
      </c>
      <c r="M14" s="497">
        <f t="shared" ca="1" si="6"/>
        <v>161800</v>
      </c>
      <c r="N14" s="497">
        <f t="shared" ca="1" si="6"/>
        <v>161800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1126370</v>
      </c>
      <c r="N18" s="22">
        <f t="shared" ca="1" si="8"/>
        <v>595241.92999999993</v>
      </c>
      <c r="O18" s="22">
        <f t="shared" ref="O18:O26" ca="1" si="9">IF(L18&gt;0,N18*100/L18,0)</f>
        <v>28.459504958069171</v>
      </c>
      <c r="P18" s="22">
        <f t="shared" ref="P18:P26" ca="1" si="10">IF(M18&gt;0,N18*100/M18,0)</f>
        <v>52.846039045784238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1126370</v>
      </c>
      <c r="N20" s="30">
        <f t="shared" ca="1" si="11"/>
        <v>595241.92999999993</v>
      </c>
      <c r="O20" s="30">
        <f t="shared" ca="1" si="9"/>
        <v>28.459504958069171</v>
      </c>
      <c r="P20" s="30">
        <f t="shared" ca="1" si="10"/>
        <v>52.846039045784238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1929740</v>
      </c>
      <c r="M21" s="497">
        <f t="shared" ca="1" si="12"/>
        <v>964570</v>
      </c>
      <c r="N21" s="497">
        <f t="shared" ca="1" si="12"/>
        <v>433441.93</v>
      </c>
      <c r="O21" s="497">
        <f t="shared" ca="1" si="9"/>
        <v>22.461156943422431</v>
      </c>
      <c r="P21" s="497">
        <f t="shared" ca="1" si="10"/>
        <v>44.936285598764215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1929740</v>
      </c>
      <c r="M23" s="93">
        <f t="shared" ca="1" si="13"/>
        <v>964570</v>
      </c>
      <c r="N23" s="93">
        <f t="shared" ca="1" si="13"/>
        <v>433441.93</v>
      </c>
      <c r="O23" s="93">
        <f t="shared" ca="1" si="9"/>
        <v>22.461156943422431</v>
      </c>
      <c r="P23" s="93">
        <f t="shared" ca="1" si="10"/>
        <v>44.936285598764215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161800</v>
      </c>
      <c r="M24" s="497">
        <f t="shared" ca="1" si="14"/>
        <v>161800</v>
      </c>
      <c r="N24" s="497">
        <f t="shared" ca="1" si="14"/>
        <v>161800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772210</v>
      </c>
      <c r="M28" s="22">
        <f t="shared" si="16"/>
        <v>0</v>
      </c>
      <c r="N28" s="22">
        <f t="shared" si="16"/>
        <v>129035</v>
      </c>
      <c r="O28" s="22">
        <f t="shared" ref="O28:O37" ca="1" si="17">IF(L28&gt;0,N28*100/L28,0)</f>
        <v>16.70983281749783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772210</v>
      </c>
      <c r="M30" s="30">
        <f t="shared" si="19"/>
        <v>0</v>
      </c>
      <c r="N30" s="30">
        <f t="shared" si="19"/>
        <v>129035</v>
      </c>
      <c r="O30" s="30">
        <f t="shared" ca="1" si="17"/>
        <v>16.70983281749783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772210</v>
      </c>
      <c r="M31" s="497">
        <f t="shared" si="20"/>
        <v>0</v>
      </c>
      <c r="N31" s="497">
        <f t="shared" si="20"/>
        <v>129035</v>
      </c>
      <c r="O31" s="497">
        <f t="shared" ca="1" si="17"/>
        <v>16.70983281749783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772210</v>
      </c>
      <c r="M33" s="93">
        <f t="shared" si="21"/>
        <v>0</v>
      </c>
      <c r="N33" s="93">
        <f t="shared" si="21"/>
        <v>129035</v>
      </c>
      <c r="O33" s="93">
        <f t="shared" ca="1" si="17"/>
        <v>16.70983281749783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2091540</v>
      </c>
      <c r="M37" s="59">
        <f t="shared" ca="1" si="24"/>
        <v>1126370</v>
      </c>
      <c r="N37" s="59">
        <f t="shared" ca="1" si="24"/>
        <v>595241.92999999993</v>
      </c>
      <c r="O37" s="59">
        <f t="shared" ca="1" si="17"/>
        <v>28.459504958069171</v>
      </c>
      <c r="P37" s="59">
        <f t="shared" ca="1" si="18"/>
        <v>52.846039045784238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121700</v>
      </c>
      <c r="N41" s="85">
        <f t="shared" ca="1" si="25"/>
        <v>34700</v>
      </c>
      <c r="O41" s="85">
        <f t="shared" ref="O41:O49" ca="1" si="26">IF(L41&gt;0,N41*100/L41,0)</f>
        <v>18.585966791644349</v>
      </c>
      <c r="P41" s="85">
        <f t="shared" ref="P41:P49" ca="1" si="27">IF(M41&gt;0,N41*100/M41,0)</f>
        <v>28.512736236647495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121700</v>
      </c>
      <c r="N43" s="92">
        <f t="shared" ca="1" si="28"/>
        <v>34700</v>
      </c>
      <c r="O43" s="92">
        <f t="shared" ca="1" si="26"/>
        <v>18.585966791644349</v>
      </c>
      <c r="P43" s="92">
        <f t="shared" ca="1" si="27"/>
        <v>28.512736236647495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186700</v>
      </c>
      <c r="M44" s="497">
        <f t="shared" ca="1" si="29"/>
        <v>121700</v>
      </c>
      <c r="N44" s="497">
        <f t="shared" ca="1" si="29"/>
        <v>34700</v>
      </c>
      <c r="O44" s="497">
        <f t="shared" ca="1" si="26"/>
        <v>18.585966791644349</v>
      </c>
      <c r="P44" s="497">
        <f t="shared" ca="1" si="27"/>
        <v>28.512736236647495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IFERROR(__xludf.DUMMYFUNCTION("IMPORTRANGE(""https://docs.google.com/spreadsheets/d/1MeEWN-I1oV_STSDYn1IFDPWt_1FKiwhDph83XaGc0o0/edit?usp=sharing"",""งบพรบ!R84"")"),121700)</f>
        <v>121700</v>
      </c>
      <c r="N46" s="93">
        <f ca="1">IFERROR(__xludf.DUMMYFUNCTION("IMPORTRANGE(""https://docs.google.com/spreadsheets/d/1MeEWN-I1oV_STSDYn1IFDPWt_1FKiwhDph83XaGc0o0/edit?usp=sharing"",""งบพรบ!T84"")"),34700)</f>
        <v>34700</v>
      </c>
      <c r="O46" s="93">
        <f t="shared" ca="1" si="26"/>
        <v>18.585966791644349</v>
      </c>
      <c r="P46" s="93">
        <f t="shared" ca="1" si="27"/>
        <v>28.512736236647495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333300</v>
      </c>
      <c r="N53" s="116">
        <f t="shared" ca="1" si="31"/>
        <v>232622.79</v>
      </c>
      <c r="O53" s="116">
        <f t="shared" ref="O53:O61" ca="1" si="32">IF(L53&gt;0,N53*100/L53,0)</f>
        <v>37.604718719689622</v>
      </c>
      <c r="P53" s="116">
        <f t="shared" ref="P53:P61" ca="1" si="33">IF(M53&gt;0,N53*100/M53,0)</f>
        <v>69.793816381638166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333300</v>
      </c>
      <c r="N55" s="123">
        <f t="shared" ca="1" si="34"/>
        <v>232622.79</v>
      </c>
      <c r="O55" s="123">
        <f t="shared" ca="1" si="32"/>
        <v>37.604718719689622</v>
      </c>
      <c r="P55" s="123">
        <f t="shared" ca="1" si="33"/>
        <v>69.793816381638166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570600</v>
      </c>
      <c r="M56" s="497">
        <f t="shared" ca="1" si="35"/>
        <v>285300</v>
      </c>
      <c r="N56" s="497">
        <f t="shared" ca="1" si="35"/>
        <v>184622.79</v>
      </c>
      <c r="O56" s="497">
        <f t="shared" ca="1" si="32"/>
        <v>32.355904311251315</v>
      </c>
      <c r="P56" s="497">
        <f t="shared" ca="1" si="33"/>
        <v>64.71180862250263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IFERROR(__xludf.DUMMYFUNCTION("IMPORTRANGE(""https://docs.google.com/spreadsheets/d/1MeEWN-I1oV_STSDYn1IFDPWt_1FKiwhDph83XaGc0o0/edit?usp=sharing"",""งบพรบ!AB84"")"),285300)</f>
        <v>285300</v>
      </c>
      <c r="N58" s="93">
        <f ca="1">IFERROR(__xludf.DUMMYFUNCTION("IMPORTRANGE(""https://docs.google.com/spreadsheets/d/1MeEWN-I1oV_STSDYn1IFDPWt_1FKiwhDph83XaGc0o0/edit?usp=sharing"",""งบพรบ!AD84"")"),184622.79)</f>
        <v>184622.79</v>
      </c>
      <c r="O58" s="93">
        <f t="shared" ca="1" si="32"/>
        <v>32.355904311251315</v>
      </c>
      <c r="P58" s="93">
        <f t="shared" ca="1" si="33"/>
        <v>64.71180862250263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48000</v>
      </c>
      <c r="M59" s="497">
        <f t="shared" ca="1" si="36"/>
        <v>48000</v>
      </c>
      <c r="N59" s="497">
        <f t="shared" ca="1" si="36"/>
        <v>48000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245340</v>
      </c>
      <c r="M88" s="155">
        <f t="shared" ca="1" si="49"/>
        <v>101490</v>
      </c>
      <c r="N88" s="155">
        <f t="shared" ca="1" si="49"/>
        <v>33744.75</v>
      </c>
      <c r="O88" s="155">
        <f t="shared" ref="O88:O96" ca="1" si="50">IF(L88&gt;0,N88*100/L88,0)</f>
        <v>13.754279775006115</v>
      </c>
      <c r="P88" s="155">
        <f t="shared" ref="P88:P96" ca="1" si="51">IF(M88&gt;0,N88*100/M88,0)</f>
        <v>33.249334909843334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245340</v>
      </c>
      <c r="M90" s="93">
        <f t="shared" ca="1" si="52"/>
        <v>101490</v>
      </c>
      <c r="N90" s="93">
        <f t="shared" ca="1" si="52"/>
        <v>33744.75</v>
      </c>
      <c r="O90" s="93">
        <f t="shared" ca="1" si="50"/>
        <v>13.754279775006115</v>
      </c>
      <c r="P90" s="93">
        <f t="shared" ca="1" si="51"/>
        <v>33.249334909843334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245340</v>
      </c>
      <c r="M91" s="497">
        <f t="shared" ca="1" si="53"/>
        <v>101490</v>
      </c>
      <c r="N91" s="497">
        <f t="shared" ca="1" si="53"/>
        <v>33744.75</v>
      </c>
      <c r="O91" s="497">
        <f t="shared" ca="1" si="50"/>
        <v>13.754279775006115</v>
      </c>
      <c r="P91" s="497">
        <f t="shared" ca="1" si="51"/>
        <v>33.249334909843334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IFERROR(__xludf.DUMMYFUNCTION("IMPORTRANGE(""https://docs.google.com/spreadsheets/d/1MeEWN-I1oV_STSDYn1IFDPWt_1FKiwhDph83XaGc0o0/edit?usp=sharing"",""งบพรบ!AV84"")"),101490)</f>
        <v>101490</v>
      </c>
      <c r="N93" s="93">
        <f ca="1">IFERROR(__xludf.DUMMYFUNCTION("IMPORTRANGE(""https://docs.google.com/spreadsheets/d/1MeEWN-I1oV_STSDYn1IFDPWt_1FKiwhDph83XaGc0o0/edit?usp=sharing"",""งบพรบ!AX84"")"),33744.75)</f>
        <v>33744.75</v>
      </c>
      <c r="O93" s="93">
        <f t="shared" ca="1" si="50"/>
        <v>13.754279775006115</v>
      </c>
      <c r="P93" s="93">
        <f t="shared" ca="1" si="51"/>
        <v>33.249334909843334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IFERROR(__xludf.DUMMYFUNCTION("IMPORTRANGE(""https://docs.google.com/spreadsheets/d/1QqKyyYR6Q21VydFLVH3TRQUabQu_ym0Zz7PgGX0-kHA/edit?usp=sharing"",""แผน!K84"")"),30)</f>
        <v>30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IFERROR(__xludf.DUMMYFUNCTION("IMPORTRANGE(""https://docs.google.com/spreadsheets/d/1QqKyyYR6Q21VydFLVH3TRQUabQu_ym0Zz7PgGX0-kHA/edit?usp=sharing"",""แผน!L84"")"),10)</f>
        <v>10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IFERROR(__xludf.DUMMYFUNCTION("IMPORTRANGE(""https://docs.google.com/spreadsheets/d/1QqKyyYR6Q21VydFLVH3TRQUabQu_ym0Zz7PgGX0-kHA/edit?usp=sharing"",""แผน!M84"")"),2)</f>
        <v>2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IFERROR(__xludf.DUMMYFUNCTION("IMPORTRANGE(""https://docs.google.com/spreadsheets/d/1QqKyyYR6Q21VydFLVH3TRQUabQu_ym0Zz7PgGX0-kHA/edit?usp=sharing"",""แผน!N84"")"),30)</f>
        <v>30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IFERROR(__xludf.DUMMYFUNCTION("IMPORTRANGE(""https://docs.google.com/spreadsheets/d/1QqKyyYR6Q21VydFLVH3TRQUabQu_ym0Zz7PgGX0-kHA/edit?usp=sharing"",""แผน!O84"")"),10)</f>
        <v>10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IFERROR(__xludf.DUMMYFUNCTION("IMPORTRANGE(""https://docs.google.com/spreadsheets/d/1QqKyyYR6Q21VydFLVH3TRQUabQu_ym0Zz7PgGX0-kHA/edit?usp=sharing"",""แผน!O84"")"),10)</f>
        <v>10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IFERROR(__xludf.DUMMYFUNCTION("IMPORTRANGE(""https://docs.google.com/spreadsheets/d/1QqKyyYR6Q21VydFLVH3TRQUabQu_ym0Zz7PgGX0-kHA/edit?usp=sharing"",""แผน!P84"")"),1)</f>
        <v>1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IFERROR(__xludf.DUMMYFUNCTION("IMPORTRANGE(""https://docs.google.com/spreadsheets/d/1QqKyyYR6Q21VydFLVH3TRQUabQu_ym0Zz7PgGX0-kHA/edit?usp=sharing"",""แผน!P84"")"),1)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IFERROR(__xludf.DUMMYFUNCTION("IMPORTRANGE(""https://docs.google.com/spreadsheets/d/1QqKyyYR6Q21VydFLVH3TRQUabQu_ym0Zz7PgGX0-kHA/edit?usp=sharing"",""แผน!Q84"")"),1)</f>
        <v>1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IFERROR(__xludf.DUMMYFUNCTION("IMPORTRANGE(""https://docs.google.com/spreadsheets/d/1QqKyyYR6Q21VydFLVH3TRQUabQu_ym0Zz7PgGX0-kHA/edit?usp=sharing"",""แผน!Q84"")"),1)</f>
        <v>1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IFERROR(__xludf.DUMMYFUNCTION("IMPORTRANGE(""https://docs.google.com/spreadsheets/d/1QqKyyYR6Q21VydFLVH3TRQUabQu_ym0Zz7PgGX0-kHA/edit?usp=sharing"",""แผน!U84"")"),0)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IFERROR(__xludf.DUMMYFUNCTION("IMPORTRANGE(""https://docs.google.com/spreadsheets/d/1QqKyyYR6Q21VydFLVH3TRQUabQu_ym0Zz7PgGX0-kHA/edit?usp=sharing"",""แผน!V84"")"),0)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IFERROR(__xludf.DUMMYFUNCTION("IMPORTRANGE(""https://docs.google.com/spreadsheets/d/1QqKyyYR6Q21VydFLVH3TRQUabQu_ym0Zz7PgGX0-kHA/edit?usp=sharing"",""แผน!W84"")"),0)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IFERROR(__xludf.DUMMYFUNCTION("IMPORTRANGE(""https://docs.google.com/spreadsheets/d/1QqKyyYR6Q21VydFLVH3TRQUabQu_ym0Zz7PgGX0-kHA/edit?usp=sharing"",""แผน!X84"")"),0)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IFERROR(__xludf.DUMMYFUNCTION("IMPORTRANGE(""https://docs.google.com/spreadsheets/d/1MeEWN-I1oV_STSDYn1IFDPWt_1FKiwhDph83XaGc0o0/edit?usp=sharing"",""งบพรบ!CJ84"")"),21050)</f>
        <v>21050</v>
      </c>
      <c r="N170" s="93">
        <f ca="1">IFERROR(__xludf.DUMMYFUNCTION("IMPORTRANGE(""https://docs.google.com/spreadsheets/d/1MeEWN-I1oV_STSDYn1IFDPWt_1FKiwhDph83XaGc0o0/edit?usp=sharing"",""งบพรบ!CL84"")"),21050)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IFERROR(__xludf.DUMMYFUNCTION("IMPORTRANGE(""https://docs.google.com/spreadsheets/d/1QqKyyYR6Q21VydFLVH3TRQUabQu_ym0Zz7PgGX0-kHA/edit?usp=sharing"",""แผน!Y84"")"),10)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25800</v>
      </c>
      <c r="M181" s="155">
        <f t="shared" ca="1" si="92"/>
        <v>12000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25800</v>
      </c>
      <c r="M183" s="93">
        <f t="shared" ca="1" si="95"/>
        <v>12000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25800</v>
      </c>
      <c r="M184" s="497">
        <f t="shared" ca="1" si="96"/>
        <v>12000</v>
      </c>
      <c r="N184" s="497">
        <f t="shared" ca="1" si="96"/>
        <v>0</v>
      </c>
      <c r="O184" s="497">
        <f t="shared" ca="1" si="93"/>
        <v>0</v>
      </c>
      <c r="P184" s="497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IFERROR(__xludf.DUMMYFUNCTION("IMPORTRANGE(""https://docs.google.com/spreadsheets/d/1MeEWN-I1oV_STSDYn1IFDPWt_1FKiwhDph83XaGc0o0/edit?usp=sharing"",""งบพรบ!CT84"")"),12000)</f>
        <v>12000</v>
      </c>
      <c r="N186" s="93">
        <f ca="1">IFERROR(__xludf.DUMMYFUNCTION("IMPORTRANGE(""https://docs.google.com/spreadsheets/d/1MeEWN-I1oV_STSDYn1IFDPWt_1FKiwhDph83XaGc0o0/edit?usp=sharing"",""งบพรบ!CV84"")"),0)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IFERROR(__xludf.DUMMYFUNCTION("IMPORTRANGE(""https://docs.google.com/spreadsheets/d/1QqKyyYR6Q21VydFLVH3TRQUabQu_ym0Zz7PgGX0-kHA/edit?usp=sharing"",""แผน!AC84"")"),4)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1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IFERROR(__xludf.DUMMYFUNCTION("IMPORTRANGE(""https://docs.google.com/spreadsheets/d/1QqKyyYR6Q21VydFLVH3TRQUabQu_ym0Zz7PgGX0-kHA/edit?usp=sharing"",""แผน!AE84"")"),1000)</f>
        <v>1000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IFERROR(__xludf.DUMMYFUNCTION("IMPORTRANGE(""https://docs.google.com/spreadsheets/d/1QqKyyYR6Q21VydFLVH3TRQUabQu_ym0Zz7PgGX0-kHA/edit?usp=sharing"",""แผน!AF84"")"),8000)</f>
        <v>8000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IFERROR(__xludf.DUMMYFUNCTION("IMPORTRANGE(""https://docs.google.com/spreadsheets/d/1QqKyyYR6Q21VydFLVH3TRQUabQu_ym0Zz7PgGX0-kHA/edit?usp=sharing"",""แผน!AG84"")"),4000)</f>
        <v>4000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IFERROR(__xludf.DUMMYFUNCTION("IMPORTRANGE(""https://docs.google.com/spreadsheets/d/1QqKyyYR6Q21VydFLVH3TRQUabQu_ym0Zz7PgGX0-kHA/edit?usp=sharing"",""แผน!AH84"")"),0)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IFERROR(__xludf.DUMMYFUNCTION("IMPORTRANGE(""https://docs.google.com/spreadsheets/d/1QqKyyYR6Q21VydFLVH3TRQUabQu_ym0Zz7PgGX0-kHA/edit?usp=sharing"",""แผน!AI84"")"),1)</f>
        <v>1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1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IFERROR(__xludf.DUMMYFUNCTION("IMPORTRANGE(""https://docs.google.com/spreadsheets/d/1QqKyyYR6Q21VydFLVH3TRQUabQu_ym0Zz7PgGX0-kHA/edit?usp=sharing"",""แผน!AK84"")"),0)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IFERROR(__xludf.DUMMYFUNCTION("IMPORTRANGE(""https://docs.google.com/spreadsheets/d/1QqKyyYR6Q21VydFLVH3TRQUabQu_ym0Zz7PgGX0-kHA/edit?usp=sharing"",""แผน!AL84"")"),0)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IFERROR(__xludf.DUMMYFUNCTION("IMPORTRANGE(""https://docs.google.com/spreadsheets/d/1QqKyyYR6Q21VydFLVH3TRQUabQu_ym0Zz7PgGX0-kHA/edit?usp=sharing"",""แผน!AM84"")"),0)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IFERROR(__xludf.DUMMYFUNCTION("IMPORTRANGE(""https://docs.google.com/spreadsheets/d/1QqKyyYR6Q21VydFLVH3TRQUabQu_ym0Zz7PgGX0-kHA/edit?usp=sharing"",""แผน!AN84"")"),0)</f>
        <v>0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IFERROR(__xludf.DUMMYFUNCTION("IMPORTRANGE(""https://docs.google.com/spreadsheets/d/1QqKyyYR6Q21VydFLVH3TRQUabQu_ym0Zz7PgGX0-kHA/edit?usp=sharing"",""แผน!AN84"")"),0)</f>
        <v>0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12000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IFERROR(__xludf.DUMMYFUNCTION("IMPORTRANGE(""https://docs.google.com/spreadsheets/d/1QqKyyYR6Q21VydFLVH3TRQUabQu_ym0Zz7PgGX0-kHA/edit?usp=sharing"",""แผน!AP84"")"),3000)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IFERROR(__xludf.DUMMYFUNCTION("IMPORTRANGE(""https://docs.google.com/spreadsheets/d/1QqKyyYR6Q21VydFLVH3TRQUabQu_ym0Zz7PgGX0-kHA/edit?usp=sharing"",""แผน!AQ84"")"),3800)</f>
        <v>3800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IFERROR(__xludf.DUMMYFUNCTION("IMPORTRANGE(""https://docs.google.com/spreadsheets/d/1QqKyyYR6Q21VydFLVH3TRQUabQu_ym0Zz7PgGX0-kHA/edit?usp=sharing"",""แผน!AR84"")"),0)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IFERROR(__xludf.DUMMYFUNCTION("IMPORTRANGE(""https://docs.google.com/spreadsheets/d/1QqKyyYR6Q21VydFLVH3TRQUabQu_ym0Zz7PgGX0-kHA/edit?usp=sharing"",""แผน!AT84"")"),12000)</f>
        <v>12000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IFERROR(__xludf.DUMMYFUNCTION("IMPORTRANGE(""https://docs.google.com/spreadsheets/d/1QqKyyYR6Q21VydFLVH3TRQUabQu_ym0Zz7PgGX0-kHA/edit?usp=sharing"",""แผน!AT84"")"),12000)</f>
        <v>12000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IFERROR(__xludf.DUMMYFUNCTION("IMPORTRANGE(""https://docs.google.com/spreadsheets/d/1QqKyyYR6Q21VydFLVH3TRQUabQu_ym0Zz7PgGX0-kHA/edit?usp=sharing"",""แผน!AS84"")"),0)</f>
        <v>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IFERROR(__xludf.DUMMYFUNCTION("IMPORTRANGE(""https://docs.google.com/spreadsheets/d/1QqKyyYR6Q21VydFLVH3TRQUabQu_ym0Zz7PgGX0-kHA/edit?usp=sharing"",""แผน!AV84"")"),0)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IFERROR(__xludf.DUMMYFUNCTION("IMPORTRANGE(""https://docs.google.com/spreadsheets/d/1QqKyyYR6Q21VydFLVH3TRQUabQu_ym0Zz7PgGX0-kHA/edit?usp=sharing"",""แผน!AW84"")"),0)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IFERROR(__xludf.DUMMYFUNCTION("IMPORTRANGE(""https://docs.google.com/spreadsheets/d/1QqKyyYR6Q21VydFLVH3TRQUabQu_ym0Zz7PgGX0-kHA/edit?usp=sharing"",""แผน!AX84"")"),0)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IFERROR(__xludf.DUMMYFUNCTION("IMPORTRANGE(""https://docs.google.com/spreadsheets/d/1QqKyyYR6Q21VydFLVH3TRQUabQu_ym0Zz7PgGX0-kHA/edit?usp=sharing"",""แผน!AY84"")"),0)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IFERROR(__xludf.DUMMYFUNCTION("IMPORTRANGE(""https://docs.google.com/spreadsheets/d/1QqKyyYR6Q21VydFLVH3TRQUabQu_ym0Zz7PgGX0-kHA/edit?usp=sharing"",""แผน!BE84"")"),0)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IFERROR(__xludf.DUMMYFUNCTION("IMPORTRANGE(""https://docs.google.com/spreadsheets/d/1QqKyyYR6Q21VydFLVH3TRQUabQu_ym0Zz7PgGX0-kHA/edit?usp=sharing"",""แผน!AZ84"")"),0)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IFERROR(__xludf.DUMMYFUNCTION("IMPORTRANGE(""https://docs.google.com/spreadsheets/d/1QqKyyYR6Q21VydFLVH3TRQUabQu_ym0Zz7PgGX0-kHA/edit?usp=sharing"",""แผน!BA84"")"),0)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IFERROR(__xludf.DUMMYFUNCTION("IMPORTRANGE(""https://docs.google.com/spreadsheets/d/1QqKyyYR6Q21VydFLVH3TRQUabQu_ym0Zz7PgGX0-kHA/edit?usp=sharing"",""แผน!BB84"")"),0)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IFERROR(__xludf.DUMMYFUNCTION("IMPORTRANGE(""https://docs.google.com/spreadsheets/d/1QqKyyYR6Q21VydFLVH3TRQUabQu_ym0Zz7PgGX0-kHA/edit?usp=sharing"",""แผน!BC84"")"),0)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IFERROR(__xludf.DUMMYFUNCTION("IMPORTRANGE(""https://docs.google.com/spreadsheets/d/1QqKyyYR6Q21VydFLVH3TRQUabQu_ym0Zz7PgGX0-kHA/edit?usp=sharing"",""แผน!BF84"")"),0)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16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164200</v>
      </c>
      <c r="M261" s="155">
        <f t="shared" ca="1" si="116"/>
        <v>65000</v>
      </c>
      <c r="N261" s="155">
        <f t="shared" ca="1" si="116"/>
        <v>25566.66</v>
      </c>
      <c r="O261" s="155">
        <f t="shared" ref="O261:O269" ca="1" si="117">IF(L261&gt;0,N261*100/L261,0)</f>
        <v>15.570438489646772</v>
      </c>
      <c r="P261" s="155">
        <f t="shared" ref="P261:P269" ca="1" si="118">IF(M261&gt;0,N261*100/M261,0)</f>
        <v>39.333323076923079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164200</v>
      </c>
      <c r="M263" s="93">
        <f t="shared" ca="1" si="119"/>
        <v>65000</v>
      </c>
      <c r="N263" s="93">
        <f t="shared" ca="1" si="119"/>
        <v>25566.66</v>
      </c>
      <c r="O263" s="93">
        <f t="shared" ca="1" si="117"/>
        <v>15.570438489646772</v>
      </c>
      <c r="P263" s="93">
        <f t="shared" ca="1" si="118"/>
        <v>39.333323076923079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164200</v>
      </c>
      <c r="M264" s="497">
        <f t="shared" ca="1" si="120"/>
        <v>65000</v>
      </c>
      <c r="N264" s="497">
        <f t="shared" ca="1" si="120"/>
        <v>25566.66</v>
      </c>
      <c r="O264" s="497">
        <f t="shared" ca="1" si="117"/>
        <v>15.570438489646772</v>
      </c>
      <c r="P264" s="497">
        <f t="shared" ca="1" si="118"/>
        <v>39.333323076923079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IFERROR(__xludf.DUMMYFUNCTION("IMPORTRANGE(""https://docs.google.com/spreadsheets/d/1MeEWN-I1oV_STSDYn1IFDPWt_1FKiwhDph83XaGc0o0/edit?usp=sharing"",""งบพรบ!DD84"")"),65000)</f>
        <v>65000</v>
      </c>
      <c r="N266" s="93">
        <f ca="1">IFERROR(__xludf.DUMMYFUNCTION("IMPORTRANGE(""https://docs.google.com/spreadsheets/d/1MeEWN-I1oV_STSDYn1IFDPWt_1FKiwhDph83XaGc0o0/edit?usp=sharing"",""งบพรบ!DF84"")"),25566.66)</f>
        <v>25566.66</v>
      </c>
      <c r="O266" s="93">
        <f t="shared" ca="1" si="117"/>
        <v>15.570438489646772</v>
      </c>
      <c r="P266" s="93">
        <f t="shared" ca="1" si="118"/>
        <v>39.333323076923079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IFERROR(__xludf.DUMMYFUNCTION("IMPORTRANGE(""https://docs.google.com/spreadsheets/d/1QqKyyYR6Q21VydFLVH3TRQUabQu_ym0Zz7PgGX0-kHA/edit?usp=sharing"",""แผน!EA84"")"),16)</f>
        <v>16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IFERROR(__xludf.DUMMYFUNCTION("IMPORTRANGE(""https://docs.google.com/spreadsheets/d/1QqKyyYR6Q21VydFLVH3TRQUabQu_ym0Zz7PgGX0-kHA/edit?usp=sharing"",""แผน!EC84"")"),0)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IFERROR(__xludf.DUMMYFUNCTION("IMPORTRANGE(""https://docs.google.com/spreadsheets/d/1QqKyyYR6Q21VydFLVH3TRQUabQu_ym0Zz7PgGX0-kHA/edit?usp=sharing"",""แผน!EB84"")"),0)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IFERROR(__xludf.DUMMYFUNCTION("IMPORTRANGE(""https://docs.google.com/spreadsheets/d/1QqKyyYR6Q21VydFLVH3TRQUabQu_ym0Zz7PgGX0-kHA/edit?usp=sharing"",""แผน!EB84"")"),0)</f>
        <v>0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IFERROR(__xludf.DUMMYFUNCTION("IMPORTRANGE(""https://docs.google.com/spreadsheets/d/1QqKyyYR6Q21VydFLVH3TRQUabQu_ym0Zz7PgGX0-kHA/edit?usp=sharing"",""แผน!ED84"")"),0)</f>
        <v>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IFERROR(__xludf.DUMMYFUNCTION("IMPORTRANGE(""https://docs.google.com/spreadsheets/d/1QqKyyYR6Q21VydFLVH3TRQUabQu_ym0Zz7PgGX0-kHA/edit?usp=sharing"",""แผน!ED84"")"),0)</f>
        <v>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IFERROR(__xludf.DUMMYFUNCTION("IMPORTRANGE(""https://docs.google.com/spreadsheets/d/1QqKyyYR6Q21VydFLVH3TRQUabQu_ym0Zz7PgGX0-kHA/edit?usp=sharing"",""แผน!ED84"")"),0)</f>
        <v>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IFERROR(__xludf.DUMMYFUNCTION("IMPORTRANGE(""https://docs.google.com/spreadsheets/d/1QqKyyYR6Q21VydFLVH3TRQUabQu_ym0Zz7PgGX0-kHA/edit?usp=sharing"",""แผน!EE84"")"),0)</f>
        <v>0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IFERROR(__xludf.DUMMYFUNCTION("IMPORTRANGE(""https://docs.google.com/spreadsheets/d/1QqKyyYR6Q21VydFLVH3TRQUabQu_ym0Zz7PgGX0-kHA/edit?usp=sharing"",""แผน!EF84"")"),0)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IFERROR(__xludf.DUMMYFUNCTION("IMPORTRANGE(""https://docs.google.com/spreadsheets/d/1QqKyyYR6Q21VydFLVH3TRQUabQu_ym0Zz7PgGX0-kHA/edit?usp=sharing"",""แผน!EG84"")"),200)</f>
        <v>200</v>
      </c>
      <c r="J327" s="444">
        <f ca="1">J338+J341+J342+J343</f>
        <v>31</v>
      </c>
      <c r="K327" s="445">
        <f ca="1">IF(I327&gt;0,J327*100/I327,0)</f>
        <v>15.5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39810</v>
      </c>
      <c r="O328" s="155">
        <f t="shared" ref="O328:O336" ca="1" si="150">IF(L328&gt;0,N328*100/L328,0)</f>
        <v>25.356687898089174</v>
      </c>
      <c r="P328" s="155">
        <f t="shared" ref="P328:P336" ca="1" si="151">IF(M328&gt;0,N328*100/M328,0)</f>
        <v>50.713375796178347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39810</v>
      </c>
      <c r="O330" s="93">
        <f t="shared" ca="1" si="150"/>
        <v>25.356687898089174</v>
      </c>
      <c r="P330" s="93">
        <f t="shared" ca="1" si="151"/>
        <v>50.713375796178347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78500</v>
      </c>
      <c r="N331" s="497">
        <f t="shared" ca="1" si="153"/>
        <v>39810</v>
      </c>
      <c r="O331" s="497">
        <f t="shared" ca="1" si="150"/>
        <v>25.356687898089174</v>
      </c>
      <c r="P331" s="497">
        <f t="shared" ca="1" si="151"/>
        <v>50.713375796178347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IFERROR(__xludf.DUMMYFUNCTION("IMPORTRANGE(""https://docs.google.com/spreadsheets/d/1MeEWN-I1oV_STSDYn1IFDPWt_1FKiwhDph83XaGc0o0/edit?usp=sharing"",""งบพรบ!ER84"")"),78500)</f>
        <v>78500</v>
      </c>
      <c r="N333" s="93">
        <f ca="1">IFERROR(__xludf.DUMMYFUNCTION("IMPORTRANGE(""https://docs.google.com/spreadsheets/d/1MeEWN-I1oV_STSDYn1IFDPWt_1FKiwhDph83XaGc0o0/edit?usp=sharing"",""งบพรบ!ET84"")"),39810)</f>
        <v>39810</v>
      </c>
      <c r="O333" s="93">
        <f t="shared" ca="1" si="150"/>
        <v>25.356687898089174</v>
      </c>
      <c r="P333" s="93">
        <f t="shared" ca="1" si="151"/>
        <v>50.713375796178347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IFERROR(__xludf.DUMMYFUNCTION("IMPORTRANGE(""https://docs.google.com/spreadsheets/d/1QqKyyYR6Q21VydFLVH3TRQUabQu_ym0Zz7PgGX0-kHA/edit?usp=sharing"",""แผน!EG84"")"),200)</f>
        <v>200</v>
      </c>
      <c r="J338" s="269">
        <f ca="1">IFERROR(__xludf.DUMMYFUNCTION("IMPORTRANGE(""https://docs.google.com/spreadsheets/d/1kVcqe37tkHyjCSG3S0O1AXqVkqjo8mSIZil3BcpIysc/edit?usp=sharing"",""ศูนย์!D84"")"),31)</f>
        <v>31</v>
      </c>
      <c r="K338" s="497">
        <f ca="1">IF(I338&gt;0,J338*100/I338,0)</f>
        <v>15.5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IFERROR(__xludf.DUMMYFUNCTION("IMPORTRANGE(""https://docs.google.com/spreadsheets/d/1QqKyyYR6Q21VydFLVH3TRQUabQu_ym0Zz7PgGX0-kHA/edit?usp=sharing"",""แผน!EH84"")"),2)</f>
        <v>2</v>
      </c>
      <c r="J340" s="269">
        <f ca="1">IFERROR(__xludf.DUMMYFUNCTION("IMPORTRANGE(""https://docs.google.com/spreadsheets/d/1kVcqe37tkHyjCSG3S0O1AXqVkqjo8mSIZil3BcpIysc/edit?usp=sharing"",""ศูนย์!E84"")"),0)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IFERROR(__xludf.DUMMYFUNCTION("IMPORTRANGE(""https://docs.google.com/spreadsheets/d/1kVcqe37tkHyjCSG3S0O1AXqVkqjo8mSIZil3BcpIysc/edit?usp=sharing"",""ศูนย์!F84"")"),0)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672850</v>
      </c>
      <c r="M345" s="155">
        <f t="shared" ca="1" si="155"/>
        <v>393330</v>
      </c>
      <c r="N345" s="155">
        <f t="shared" ca="1" si="155"/>
        <v>207747.72999999998</v>
      </c>
      <c r="O345" s="155">
        <f t="shared" ref="O345:O353" ca="1" si="156">IF(L345&gt;0,N345*100/L345,0)</f>
        <v>30.875786579475367</v>
      </c>
      <c r="P345" s="155">
        <f t="shared" ref="P345:P353" ca="1" si="157">IF(M345&gt;0,N345*100/M345,0)</f>
        <v>52.81766709887372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672850</v>
      </c>
      <c r="M347" s="93">
        <f t="shared" ca="1" si="158"/>
        <v>393330</v>
      </c>
      <c r="N347" s="93">
        <f t="shared" ca="1" si="158"/>
        <v>207747.72999999998</v>
      </c>
      <c r="O347" s="93">
        <f t="shared" ca="1" si="156"/>
        <v>30.875786579475367</v>
      </c>
      <c r="P347" s="93">
        <f t="shared" ca="1" si="157"/>
        <v>52.81766709887372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559050</v>
      </c>
      <c r="M348" s="497">
        <f t="shared" ca="1" si="159"/>
        <v>279530</v>
      </c>
      <c r="N348" s="497">
        <f t="shared" ca="1" si="159"/>
        <v>93947.73</v>
      </c>
      <c r="O348" s="497">
        <f t="shared" ca="1" si="156"/>
        <v>16.804888650389053</v>
      </c>
      <c r="P348" s="497">
        <f t="shared" ca="1" si="157"/>
        <v>33.609176117053629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IFERROR(__xludf.DUMMYFUNCTION("IMPORTRANGE(""https://docs.google.com/spreadsheets/d/1MeEWN-I1oV_STSDYn1IFDPWt_1FKiwhDph83XaGc0o0/edit?usp=sharing"",""งบพรบ!FB84"")"),279530)</f>
        <v>279530</v>
      </c>
      <c r="N350" s="93">
        <f ca="1">IFERROR(__xludf.DUMMYFUNCTION("IMPORTRANGE(""https://docs.google.com/spreadsheets/d/1MeEWN-I1oV_STSDYn1IFDPWt_1FKiwhDph83XaGc0o0/edit?usp=sharing"",""งบพรบ!FD84"")"),93947.73)</f>
        <v>93947.73</v>
      </c>
      <c r="O350" s="93">
        <f t="shared" ca="1" si="156"/>
        <v>16.804888650389053</v>
      </c>
      <c r="P350" s="93">
        <f t="shared" ca="1" si="157"/>
        <v>33.609176117053629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IFERROR(__xludf.DUMMYFUNCTION("IMPORTRANGE(""https://docs.google.com/spreadsheets/d/1QqKyyYR6Q21VydFLVH3TRQUabQu_ym0Zz7PgGX0-kHA/edit?usp=sharing"",""แผน!EP84"")"),54)</f>
        <v>54</v>
      </c>
      <c r="J355" s="464">
        <f ca="1">J362</f>
        <v>6</v>
      </c>
      <c r="K355" s="465">
        <f ca="1">IF(I355&gt;0,J355*100/I355,0)</f>
        <v>11.111111111111111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IFERROR(__xludf.DUMMYFUNCTION("IMPORTRANGE(""https://docs.google.com/spreadsheets/d/1XWAQStnk-4SwqDmLtmXYiTMKHgktTP8We1SCoS47DrQ/edit?usp=sharing"",""จัดที่ดิน!W84"")"),6)</f>
        <v>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IFERROR(__xludf.DUMMYFUNCTION("IMPORTRANGE(""https://docs.google.com/spreadsheets/d/1QqKyyYR6Q21VydFLVH3TRQUabQu_ym0Zz7PgGX0-kHA/edit?usp=sharing"",""แผน!EO84"")"),440)</f>
        <v>440</v>
      </c>
      <c r="J359" s="269">
        <f ca="1">IFERROR(__xludf.DUMMYFUNCTION("IMPORTRANGE(""https://docs.google.com/spreadsheets/d/1XWAQStnk-4SwqDmLtmXYiTMKHgktTP8We1SCoS47DrQ/edit?usp=sharing"",""จัดที่ดิน!X84"")"),35.7)</f>
        <v>35.700000000000003</v>
      </c>
      <c r="K359" s="497">
        <f t="shared" ca="1" si="161"/>
        <v>8.1136363636363651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IFERROR(__xludf.DUMMYFUNCTION("IMPORTRANGE(""https://docs.google.com/spreadsheets/d/1QqKyyYR6Q21VydFLVH3TRQUabQu_ym0Zz7PgGX0-kHA/edit?usp=sharing"",""แผน!EP84"")"),54)</f>
        <v>54</v>
      </c>
      <c r="J360" s="269">
        <f ca="1">IFERROR(__xludf.DUMMYFUNCTION("IMPORTRANGE(""https://docs.google.com/spreadsheets/d/1XWAQStnk-4SwqDmLtmXYiTMKHgktTP8We1SCoS47DrQ/edit?usp=sharing"",""จัดที่ดิน!Y84"")"),6)</f>
        <v>6</v>
      </c>
      <c r="K360" s="497">
        <f t="shared" ca="1" si="161"/>
        <v>11.111111111111111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IFERROR(__xludf.DUMMYFUNCTION("IMPORTRANGE(""https://docs.google.com/spreadsheets/d/1XWAQStnk-4SwqDmLtmXYiTMKHgktTP8We1SCoS47DrQ/edit?usp=sharing"",""จัดที่ดิน!Z84"")"),35.7)</f>
        <v>35.700000000000003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IFERROR(__xludf.DUMMYFUNCTION("IMPORTRANGE(""https://docs.google.com/spreadsheets/d/1QqKyyYR6Q21VydFLVH3TRQUabQu_ym0Zz7PgGX0-kHA/edit?usp=sharing"",""แผน!EP84"")"),54)</f>
        <v>54</v>
      </c>
      <c r="J362" s="269">
        <f ca="1">IFERROR(__xludf.DUMMYFUNCTION("IMPORTRANGE(""https://docs.google.com/spreadsheets/d/1XWAQStnk-4SwqDmLtmXYiTMKHgktTP8We1SCoS47DrQ/edit?usp=sharing"",""จัดที่ดิน!AA84"")"),6)</f>
        <v>6</v>
      </c>
      <c r="K362" s="497">
        <f t="shared" ca="1" si="161"/>
        <v>11.111111111111111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IFERROR(__xludf.DUMMYFUNCTION("IMPORTRANGE(""https://docs.google.com/spreadsheets/d/1XWAQStnk-4SwqDmLtmXYiTMKHgktTP8We1SCoS47DrQ/edit?usp=sharing"",""จัดที่ดิน!AB84"")"),35.7)</f>
        <v>35.700000000000003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74</v>
      </c>
      <c r="J364" s="478">
        <f t="shared" ca="1" si="162"/>
        <v>20</v>
      </c>
      <c r="K364" s="479">
        <f t="shared" ca="1" si="161"/>
        <v>27.027027027027028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IFERROR(__xludf.DUMMYFUNCTION("IMPORTRANGE(""https://docs.google.com/spreadsheets/d/1QqKyyYR6Q21VydFLVH3TRQUabQu_ym0Zz7PgGX0-kHA/edit?usp=sharing"",""แผน!EJ84"")"),34)</f>
        <v>34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IFERROR(__xludf.DUMMYFUNCTION("IMPORTRANGE(""https://docs.google.com/spreadsheets/d/1XWAQStnk-4SwqDmLtmXYiTMKHgktTP8We1SCoS47DrQ/edit?usp=sharing"",""จัดที่ดิน!E84"")"),0)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IFERROR(__xludf.DUMMYFUNCTION("IMPORTRANGE(""https://docs.google.com/spreadsheets/d/1QqKyyYR6Q21VydFLVH3TRQUabQu_ym0Zz7PgGX0-kHA/edit?usp=sharing"",""แผน!EI84"")"),340)</f>
        <v>340</v>
      </c>
      <c r="J369" s="269">
        <f ca="1">IFERROR(__xludf.DUMMYFUNCTION("IMPORTRANGE(""https://docs.google.com/spreadsheets/d/1XWAQStnk-4SwqDmLtmXYiTMKHgktTP8We1SCoS47DrQ/edit?usp=sharing"",""จัดที่ดิน!F84"")"),0)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IFERROR(__xludf.DUMMYFUNCTION("IMPORTRANGE(""https://docs.google.com/spreadsheets/d/1QqKyyYR6Q21VydFLVH3TRQUabQu_ym0Zz7PgGX0-kHA/edit?usp=sharing"",""แผน!EJ84"")"),34)</f>
        <v>34</v>
      </c>
      <c r="J370" s="269">
        <f ca="1">IFERROR(__xludf.DUMMYFUNCTION("IMPORTRANGE(""https://docs.google.com/spreadsheets/d/1XWAQStnk-4SwqDmLtmXYiTMKHgktTP8We1SCoS47DrQ/edit?usp=sharing"",""จัดที่ดิน!G84"")"),0)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IFERROR(__xludf.DUMMYFUNCTION("IMPORTRANGE(""https://docs.google.com/spreadsheets/d/1XWAQStnk-4SwqDmLtmXYiTMKHgktTP8We1SCoS47DrQ/edit?usp=sharing"",""จัดที่ดิน!H84"")"),0)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IFERROR(__xludf.DUMMYFUNCTION("IMPORTRANGE(""https://docs.google.com/spreadsheets/d/1QqKyyYR6Q21VydFLVH3TRQUabQu_ym0Zz7PgGX0-kHA/edit?usp=sharing"",""แผน!EJ84"")"),34)</f>
        <v>34</v>
      </c>
      <c r="J372" s="269">
        <f ca="1">IFERROR(__xludf.DUMMYFUNCTION("IMPORTRANGE(""https://docs.google.com/spreadsheets/d/1XWAQStnk-4SwqDmLtmXYiTMKHgktTP8We1SCoS47DrQ/edit?usp=sharing"",""จัดที่ดิน!I84"")"),0)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IFERROR(__xludf.DUMMYFUNCTION("IMPORTRANGE(""https://docs.google.com/spreadsheets/d/1XWAQStnk-4SwqDmLtmXYiTMKHgktTP8We1SCoS47DrQ/edit?usp=sharing"",""จัดที่ดิน!J84"")"),0)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IFERROR(__xludf.DUMMYFUNCTION("IMPORTRANGE(""https://docs.google.com/spreadsheets/d/1QqKyyYR6Q21VydFLVH3TRQUabQu_ym0Zz7PgGX0-kHA/edit?usp=sharing"",""แผน!EU84"")"),40)</f>
        <v>40</v>
      </c>
      <c r="J374" s="490">
        <f ca="1">J381</f>
        <v>20</v>
      </c>
      <c r="K374" s="491">
        <f t="shared" ca="1" si="163"/>
        <v>50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IFERROR(__xludf.DUMMYFUNCTION("IMPORTRANGE(""https://docs.google.com/spreadsheets/d/1XWAQStnk-4SwqDmLtmXYiTMKHgktTP8We1SCoS47DrQ/edit?usp=sharing"",""จัดที่ดิน!AH84"")"),6)</f>
        <v>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IFERROR(__xludf.DUMMYFUNCTION("IMPORTRANGE(""https://docs.google.com/spreadsheets/d/1QqKyyYR6Q21VydFLVH3TRQUabQu_ym0Zz7PgGX0-kHA/edit?usp=sharing"",""แผน!ET84"")"),100)</f>
        <v>100</v>
      </c>
      <c r="J378" s="269">
        <f ca="1">IFERROR(__xludf.DUMMYFUNCTION("IMPORTRANGE(""https://docs.google.com/spreadsheets/d/1XWAQStnk-4SwqDmLtmXYiTMKHgktTP8We1SCoS47DrQ/edit?usp=sharing"",""จัดที่ดิน!AI84"")"),35.7)</f>
        <v>35.700000000000003</v>
      </c>
      <c r="K378" s="497">
        <f t="shared" ca="1" si="164"/>
        <v>35.700000000000003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IFERROR(__xludf.DUMMYFUNCTION("IMPORTRANGE(""https://docs.google.com/spreadsheets/d/1QqKyyYR6Q21VydFLVH3TRQUabQu_ym0Zz7PgGX0-kHA/edit?usp=sharing"",""แผน!EU84"")"),40)</f>
        <v>40</v>
      </c>
      <c r="J379" s="269">
        <f ca="1">IFERROR(__xludf.DUMMYFUNCTION("IMPORTRANGE(""https://docs.google.com/spreadsheets/d/1XWAQStnk-4SwqDmLtmXYiTMKHgktTP8We1SCoS47DrQ/edit?usp=sharing"",""จัดที่ดิน!AJ84"")"),20)</f>
        <v>20</v>
      </c>
      <c r="K379" s="497">
        <f t="shared" ca="1" si="164"/>
        <v>50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IFERROR(__xludf.DUMMYFUNCTION("IMPORTRANGE(""https://docs.google.com/spreadsheets/d/1XWAQStnk-4SwqDmLtmXYiTMKHgktTP8We1SCoS47DrQ/edit?usp=sharing"",""จัดที่ดิน!AK84"")"),137.77)</f>
        <v>137.77000000000001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IFERROR(__xludf.DUMMYFUNCTION("IMPORTRANGE(""https://docs.google.com/spreadsheets/d/1QqKyyYR6Q21VydFLVH3TRQUabQu_ym0Zz7PgGX0-kHA/edit?usp=sharing"",""แผน!EU84"")"),40)</f>
        <v>40</v>
      </c>
      <c r="J381" s="269">
        <f ca="1">IFERROR(__xludf.DUMMYFUNCTION("IMPORTRANGE(""https://docs.google.com/spreadsheets/d/1XWAQStnk-4SwqDmLtmXYiTMKHgktTP8We1SCoS47DrQ/edit?usp=sharing"",""จัดที่ดิน!AL84"")"),20)</f>
        <v>20</v>
      </c>
      <c r="K381" s="497">
        <f t="shared" ca="1" si="164"/>
        <v>50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IFERROR(__xludf.DUMMYFUNCTION("IMPORTRANGE(""https://docs.google.com/spreadsheets/d/1XWAQStnk-4SwqDmLtmXYiTMKHgktTP8We1SCoS47DrQ/edit?usp=sharing"",""จัดที่ดิน!AM84"")"),137.77)</f>
        <v>137.77000000000001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IFERROR(__xludf.DUMMYFUNCTION("IMPORTRANGE(""https://docs.google.com/spreadsheets/d/1QqKyyYR6Q21VydFLVH3TRQUabQu_ym0Zz7PgGX0-kHA/edit?usp=sharing"",""แผน!EW84"")"),10)</f>
        <v>10</v>
      </c>
      <c r="J385" s="500">
        <f ca="1">IFERROR(__xludf.DUMMYFUNCTION("IMPORTRANGE(""https://docs.google.com/spreadsheets/d/1XWAQStnk-4SwqDmLtmXYiTMKHgktTP8We1SCoS47DrQ/edit?usp=sharing"",""จัดที่ดิน!AP84"")"),0)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772210</v>
      </c>
      <c r="M414" s="548">
        <f t="shared" si="181"/>
        <v>0</v>
      </c>
      <c r="N414" s="548">
        <f t="shared" si="181"/>
        <v>129035</v>
      </c>
      <c r="O414" s="548">
        <f ca="1">IF(L414&gt;0,N414*100/L414,0)</f>
        <v>16.70983281749783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10</v>
      </c>
      <c r="J417" s="564">
        <f t="shared" ca="1" si="182"/>
        <v>10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54560</v>
      </c>
      <c r="M419" s="155">
        <f t="shared" si="184"/>
        <v>0</v>
      </c>
      <c r="N419" s="155">
        <f t="shared" si="184"/>
        <v>52740</v>
      </c>
      <c r="O419" s="155">
        <f t="shared" ref="O419:O424" ca="1" si="185">IF(L419&gt;0,N419*100/L419,0)</f>
        <v>96.6642228739003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54560</v>
      </c>
      <c r="M421" s="93">
        <f t="shared" si="187"/>
        <v>0</v>
      </c>
      <c r="N421" s="93">
        <f t="shared" si="187"/>
        <v>52740</v>
      </c>
      <c r="O421" s="93">
        <f t="shared" ca="1" si="185"/>
        <v>96.6642228739003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54560</v>
      </c>
      <c r="M422" s="497">
        <f t="shared" si="188"/>
        <v>0</v>
      </c>
      <c r="N422" s="497">
        <f t="shared" si="188"/>
        <v>52740</v>
      </c>
      <c r="O422" s="497">
        <f t="shared" ca="1" si="185"/>
        <v>96.6642228739003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v>0</v>
      </c>
      <c r="N424" s="93">
        <f>N425+N426+N427+N428</f>
        <v>52740</v>
      </c>
      <c r="O424" s="93">
        <f t="shared" ca="1" si="185"/>
        <v>96.6642228739003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24300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28440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10</v>
      </c>
      <c r="J433" s="675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IFERROR(__xludf.DUMMYFUNCTION("IMPORTRANGE(""https://docs.google.com/spreadsheets/d/1QqKyyYR6Q21VydFLVH3TRQUabQu_ym0Zz7PgGX0-kHA/edit?usp=sharing"",""แผน!FC84"")"),10)</f>
        <v>10</v>
      </c>
      <c r="J435" s="578">
        <v>10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IFERROR(__xludf.DUMMYFUNCTION("IMPORTRANGE(""https://docs.google.com/spreadsheets/d/1QqKyyYR6Q21VydFLVH3TRQUabQu_ym0Zz7PgGX0-kHA/edit?usp=sharing"",""แผน!FD84"")"),0)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IFERROR(__xludf.DUMMYFUNCTION("IMPORTRANGE(""https://docs.google.com/spreadsheets/d/1QqKyyYR6Q21VydFLVH3TRQUabQu_ym0Zz7PgGX0-kHA/edit?usp=sharing"",""แผน!FE84"")"),0)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IFERROR(__xludf.DUMMYFUNCTION("IMPORTRANGE(""https://docs.google.com/spreadsheets/d/1QqKyyYR6Q21VydFLVH3TRQUabQu_ym0Zz7PgGX0-kHA/edit?usp=sharing"",""แผน!FF84"")"),10)</f>
        <v>10</v>
      </c>
      <c r="J439" s="578">
        <v>10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IFERROR(__xludf.DUMMYFUNCTION("IMPORTRANGE(""https://docs.google.com/spreadsheets/d/1QqKyyYR6Q21VydFLVH3TRQUabQu_ym0Zz7PgGX0-kHA/edit?usp=sharing"",""แผน!FG84"")"),1)</f>
        <v>1</v>
      </c>
      <c r="J440" s="214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IFERROR(__xludf.DUMMYFUNCTION("IMPORTRANGE(""https://docs.google.com/spreadsheets/d/1QqKyyYR6Q21VydFLVH3TRQUabQu_ym0Zz7PgGX0-kHA/edit?usp=sharing"",""แผน!FH84"")"),0)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IFERROR(__xludf.DUMMYFUNCTION("IMPORTRANGE(""https://docs.google.com/spreadsheets/d/1QqKyyYR6Q21VydFLVH3TRQUabQu_ym0Zz7PgGX0-kHA/edit?usp=sharing"",""แผน!FN84"")"),0)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IFERROR(__xludf.DUMMYFUNCTION("IMPORTRANGE(""https://docs.google.com/spreadsheets/d/1QqKyyYR6Q21VydFLVH3TRQUabQu_ym0Zz7PgGX0-kHA/edit?usp=sharing"",""แผน!FO84"")"),0)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IFERROR(__xludf.DUMMYFUNCTION("IMPORTRANGE(""https://docs.google.com/spreadsheets/d/1QqKyyYR6Q21VydFLVH3TRQUabQu_ym0Zz7PgGX0-kHA/edit?usp=sharing"",""แผน!FO84"")"),0)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IFERROR(__xludf.DUMMYFUNCTION("IMPORTRANGE(""https://docs.google.com/spreadsheets/d/1QqKyyYR6Q21VydFLVH3TRQUabQu_ym0Zz7PgGX0-kHA/edit?usp=sharing"",""แผน!FN84"")"),0)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IFERROR(__xludf.DUMMYFUNCTION("IMPORTRANGE(""https://docs.google.com/spreadsheets/d/1QqKyyYR6Q21VydFLVH3TRQUabQu_ym0Zz7PgGX0-kHA/edit?usp=sharing"",""แผน!FX84"")"),11)</f>
        <v>11</v>
      </c>
      <c r="J465" s="584">
        <f>J485+J489+J492</f>
        <v>11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IFERROR(__xludf.DUMMYFUNCTION("IMPORTRANGE(""https://docs.google.com/spreadsheets/d/1QqKyyYR6Q21VydFLVH3TRQUabQu_ym0Zz7PgGX0-kHA/edit?usp=sharing"",""แผน!FW84"")"),100)</f>
        <v>100</v>
      </c>
      <c r="J466" s="564">
        <f>J483+J487</f>
        <v>100</v>
      </c>
      <c r="K466" s="565">
        <f t="shared" ca="1" si="205"/>
        <v>100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98283</v>
      </c>
      <c r="M467" s="195">
        <f t="shared" si="206"/>
        <v>0</v>
      </c>
      <c r="N467" s="195">
        <f t="shared" si="206"/>
        <v>3900</v>
      </c>
      <c r="O467" s="195">
        <f t="shared" ref="O467:O472" ca="1" si="207">IF(L467&gt;0,N467*100/L467,0)</f>
        <v>3.9681328408778729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98283</v>
      </c>
      <c r="M469" s="93">
        <f t="shared" si="209"/>
        <v>0</v>
      </c>
      <c r="N469" s="93">
        <f t="shared" si="209"/>
        <v>3900</v>
      </c>
      <c r="O469" s="93">
        <f t="shared" ca="1" si="207"/>
        <v>3.9681328408778729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98283</v>
      </c>
      <c r="M470" s="497">
        <f t="shared" si="210"/>
        <v>0</v>
      </c>
      <c r="N470" s="497">
        <f t="shared" si="210"/>
        <v>3900</v>
      </c>
      <c r="O470" s="497">
        <f t="shared" ca="1" si="207"/>
        <v>3.9681328408778729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IFERROR(__xludf.DUMMYFUNCTION("IMPORTRANGE(""https://docs.google.com/spreadsheets/d/1QqKyyYR6Q21VydFLVH3TRQUabQu_ym0Zz7PgGX0-kHA/edit?usp=sharing"",""แผน!FS84"")"),98283)</f>
        <v>98283</v>
      </c>
      <c r="M472" s="93">
        <v>0</v>
      </c>
      <c r="N472" s="93">
        <f>N473+N474+N475+N476</f>
        <v>3900</v>
      </c>
      <c r="O472" s="93">
        <f t="shared" ca="1" si="207"/>
        <v>3.9681328408778729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3900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IFERROR(__xludf.DUMMYFUNCTION("IMPORTRANGE(""https://docs.google.com/spreadsheets/d/1QqKyyYR6Q21VydFLVH3TRQUabQu_ym0Zz7PgGX0-kHA/edit?usp=sharing"",""แผน!FY84"")"),90)</f>
        <v>90</v>
      </c>
      <c r="J483" s="214">
        <v>90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9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IFERROR(__xludf.DUMMYFUNCTION("IMPORTRANGE(""https://docs.google.com/spreadsheets/d/1QqKyyYR6Q21VydFLVH3TRQUabQu_ym0Zz7PgGX0-kHA/edit?usp=sharing"",""แผน!FZ84"")"),9)</f>
        <v>9</v>
      </c>
      <c r="J485" s="214">
        <v>9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IFERROR(__xludf.DUMMYFUNCTION("IMPORTRANGE(""https://docs.google.com/spreadsheets/d/1QqKyyYR6Q21VydFLVH3TRQUabQu_ym0Zz7PgGX0-kHA/edit?usp=sharing"",""แผน!GA84"")"),10)</f>
        <v>10</v>
      </c>
      <c r="J487" s="214">
        <v>10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1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IFERROR(__xludf.DUMMYFUNCTION("IMPORTRANGE(""https://docs.google.com/spreadsheets/d/1QqKyyYR6Q21VydFLVH3TRQUabQu_ym0Zz7PgGX0-kHA/edit?usp=sharing"",""แผน!GB84"")"),1)</f>
        <v>1</v>
      </c>
      <c r="J489" s="214">
        <v>1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IFERROR(__xludf.DUMMYFUNCTION("IMPORTRANGE(""https://docs.google.com/spreadsheets/d/1QqKyyYR6Q21VydFLVH3TRQUabQu_ym0Zz7PgGX0-kHA/edit?usp=sharing"",""แผน!GC84"")"),1)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IFERROR(__xludf.DUMMYFUNCTION("IMPORTRANGE(""https://docs.google.com/spreadsheets/d/1QqKyyYR6Q21VydFLVH3TRQUabQu_ym0Zz7PgGX0-kHA/edit?usp=sharing"",""แผน!FY84"")"),90)</f>
        <v>90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IFERROR(__xludf.DUMMYFUNCTION("IMPORTRANGE(""https://docs.google.com/spreadsheets/d/1QqKyyYR6Q21VydFLVH3TRQUabQu_ym0Zz7PgGX0-kHA/edit?usp=sharing"",""แผน!GA84"")"),10)</f>
        <v>10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IFERROR(__xludf.DUMMYFUNCTION("IMPORTRANGE(""https://docs.google.com/spreadsheets/d/1QqKyyYR6Q21VydFLVH3TRQUabQu_ym0Zz7PgGX0-kHA/edit?usp=sharing"",""แผน!GU84"")"),0)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IFERROR(__xludf.DUMMYFUNCTION("IMPORTRANGE(""https://docs.google.com/spreadsheets/d/1QqKyyYR6Q21VydFLVH3TRQUabQu_ym0Zz7PgGX0-kHA/edit?usp=sharing"",""แผน!GV84"")"),0)</f>
        <v>0</v>
      </c>
      <c r="J538" s="214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IFERROR(__xludf.DUMMYFUNCTION("IMPORTRANGE(""https://docs.google.com/spreadsheets/d/1QqKyyYR6Q21VydFLVH3TRQUabQu_ym0Zz7PgGX0-kHA/edit?usp=sharing"",""แผน!GW84"")"),0)</f>
        <v>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IFERROR(__xludf.DUMMYFUNCTION("IMPORTRANGE(""https://docs.google.com/spreadsheets/d/1QqKyyYR6Q21VydFLVH3TRQUabQu_ym0Zz7PgGX0-kHA/edit?usp=sharing"",""แผน!GX84"")"),0)</f>
        <v>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IFERROR(__xludf.DUMMYFUNCTION("IMPORTRANGE(""https://docs.google.com/spreadsheets/d/1QqKyyYR6Q21VydFLVH3TRQUabQu_ym0Zz7PgGX0-kHA/edit?usp=sharing"",""แผน!GY84"")"),0)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IFERROR(__xludf.DUMMYFUNCTION("IMPORTRANGE(""https://docs.google.com/spreadsheets/d/1QqKyyYR6Q21VydFLVH3TRQUabQu_ym0Zz7PgGX0-kHA/edit?usp=sharing"",""แผน!GZ84"")"),0)</f>
        <v>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6007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225212</v>
      </c>
      <c r="M544" s="155">
        <f t="shared" si="236"/>
        <v>0</v>
      </c>
      <c r="N544" s="155">
        <f t="shared" si="236"/>
        <v>31250</v>
      </c>
      <c r="O544" s="155">
        <f t="shared" ref="O544:O549" ca="1" si="237">IF(L544&gt;0,N544*100/L544,0)</f>
        <v>13.875814787844343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225212</v>
      </c>
      <c r="M546" s="93">
        <f t="shared" si="240"/>
        <v>0</v>
      </c>
      <c r="N546" s="93">
        <f t="shared" si="240"/>
        <v>31250</v>
      </c>
      <c r="O546" s="93">
        <f t="shared" ca="1" si="237"/>
        <v>13.875814787844343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225212</v>
      </c>
      <c r="M547" s="497">
        <f t="shared" si="241"/>
        <v>0</v>
      </c>
      <c r="N547" s="497">
        <f t="shared" si="241"/>
        <v>31250</v>
      </c>
      <c r="O547" s="497">
        <f t="shared" ca="1" si="237"/>
        <v>13.875814787844343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IFERROR(__xludf.DUMMYFUNCTION("IMPORTRANGE(""https://docs.google.com/spreadsheets/d/1QqKyyYR6Q21VydFLVH3TRQUabQu_ym0Zz7PgGX0-kHA/edit?usp=sharing"",""แผน!HB84"")"),225212)</f>
        <v>225212</v>
      </c>
      <c r="M549" s="93">
        <v>0</v>
      </c>
      <c r="N549" s="93">
        <f>N550+N551+N552+N553+N554</f>
        <v>31250</v>
      </c>
      <c r="O549" s="93">
        <f t="shared" ca="1" si="237"/>
        <v>13.875814787844343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26000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5250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6007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50</v>
      </c>
      <c r="J592" s="700">
        <f t="shared" si="253"/>
        <v>50</v>
      </c>
      <c r="K592" s="671">
        <f t="shared" ref="K592:K594" ca="1" si="254">IF(I592&gt;0,J592*100/I592,0)</f>
        <v>100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IFERROR(__xludf.DUMMYFUNCTION("IMPORTRANGE(""https://docs.google.com/spreadsheets/d/1QqKyyYR6Q21VydFLVH3TRQUabQu_ym0Zz7PgGX0-kHA/edit?usp=sharing"",""แผน!HJ84"")"),50)</f>
        <v>50</v>
      </c>
      <c r="J593" s="193">
        <f t="shared" ref="J593:J594" si="255">J595+J603+J609</f>
        <v>50</v>
      </c>
      <c r="K593" s="411">
        <f t="shared" ca="1" si="254"/>
        <v>100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1">
        <f t="shared" ca="1" si="254"/>
        <v>100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50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50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8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IFERROR(__xludf.DUMMYFUNCTION("IMPORTRANGE(""https://docs.google.com/spreadsheets/d/1QqKyyYR6Q21VydFLVH3TRQUabQu_ym0Zz7PgGX0-kHA/edit?usp=sharing"",""แผน!HL84"")"),0)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IFERROR(__xludf.DUMMYFUNCTION("IMPORTRANGE(""https://docs.google.com/spreadsheets/d/1QqKyyYR6Q21VydFLVH3TRQUabQu_ym0Zz7PgGX0-kHA/edit?usp=sharing"",""แผน!HK84"")"),0)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120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384755</v>
      </c>
      <c r="M629" s="195">
        <f t="shared" si="263"/>
        <v>0</v>
      </c>
      <c r="N629" s="195">
        <f t="shared" si="263"/>
        <v>36285</v>
      </c>
      <c r="O629" s="195">
        <f t="shared" ref="O629:O634" ca="1" si="264">IF(L629&gt;0,N629*100/L629,0)</f>
        <v>9.430676664370834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384755</v>
      </c>
      <c r="M631" s="93">
        <f t="shared" si="266"/>
        <v>0</v>
      </c>
      <c r="N631" s="93">
        <f t="shared" si="266"/>
        <v>36285</v>
      </c>
      <c r="O631" s="93">
        <f t="shared" ca="1" si="264"/>
        <v>9.430676664370834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384755</v>
      </c>
      <c r="M632" s="497">
        <f t="shared" si="267"/>
        <v>0</v>
      </c>
      <c r="N632" s="497">
        <f t="shared" si="267"/>
        <v>36285</v>
      </c>
      <c r="O632" s="497">
        <f t="shared" ca="1" si="264"/>
        <v>9.430676664370834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v>0</v>
      </c>
      <c r="N634" s="93">
        <f>N635+N636+N637+N638</f>
        <v>36285</v>
      </c>
      <c r="O634" s="93">
        <f t="shared" ca="1" si="264"/>
        <v>9.430676664370834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26000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10285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IFERROR(__xludf.DUMMYFUNCTION("IMPORTRANGE(""https://docs.google.com/spreadsheets/d/1QqKyyYR6Q21VydFLVH3TRQUabQu_ym0Zz7PgGX0-kHA/edit?usp=sharing"",""แผน!HR84"")"),2)</f>
        <v>2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IFERROR(__xludf.DUMMYFUNCTION("IMPORTRANGE(""https://docs.google.com/spreadsheets/d/1QqKyyYR6Q21VydFLVH3TRQUabQu_ym0Zz7PgGX0-kHA/edit?usp=sharing"",""แผน!HR84"")"),2)</f>
        <v>2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IFERROR(__xludf.DUMMYFUNCTION("IMPORTRANGE(""https://docs.google.com/spreadsheets/d/1XWAQStnk-4SwqDmLtmXYiTMKHgktTP8We1SCoS47DrQ/edit?usp=sharing"",""จัดที่ดิน!AT84"")"),0)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IFERROR(__xludf.DUMMYFUNCTION("IMPORTRANGE(""https://docs.google.com/spreadsheets/d/1QqKyyYR6Q21VydFLVH3TRQUabQu_ym0Zz7PgGX0-kHA/edit?usp=sharing"",""แผน!HS84"")"),120)</f>
        <v>120</v>
      </c>
      <c r="J647" s="269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IFERROR(__xludf.DUMMYFUNCTION("IMPORTRANGE(""https://docs.google.com/spreadsheets/d/1XWAQStnk-4SwqDmLtmXYiTMKHgktTP8We1SCoS47DrQ/edit?usp=sharing"",""จัดที่ดิน!AV84"")"),0)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IFERROR(__xludf.DUMMYFUNCTION("IMPORTRANGE(""https://docs.google.com/spreadsheets/d/1QqKyyYR6Q21VydFLVH3TRQUabQu_ym0Zz7PgGX0-kHA/edit?usp=sharing"",""แผน!HS84"")"),120)</f>
        <v>120</v>
      </c>
      <c r="J649" s="269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IFERROR(__xludf.DUMMYFUNCTION("IMPORTRANGE(""https://docs.google.com/spreadsheets/d/1XWAQStnk-4SwqDmLtmXYiTMKHgktTP8We1SCoS47DrQ/edit?usp=sharing"",""จัดที่ดิน!AX84"")"),0)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IFERROR(__xludf.DUMMYFUNCTION("IMPORTRANGE(""https://docs.google.com/spreadsheets/d/1QqKyyYR6Q21VydFLVH3TRQUabQu_ym0Zz7PgGX0-kHA/edit?usp=sharing"",""แผน!HS84"")"),120)</f>
        <v>120</v>
      </c>
      <c r="J651" s="269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IFERROR(__xludf.DUMMYFUNCTION("IMPORTRANGE(""https://docs.google.com/spreadsheets/d/1XWAQStnk-4SwqDmLtmXYiTMKHgktTP8We1SCoS47DrQ/edit?usp=sharing"",""จัดที่ดิน!AZ84"")"),0)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50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4860</v>
      </c>
      <c r="O655" s="195">
        <f t="shared" ref="O655:O660" ca="1" si="274">IF(L655&gt;0,N655*100/L655,0)</f>
        <v>51.702127659574465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4860</v>
      </c>
      <c r="O657" s="93">
        <f t="shared" ca="1" si="274"/>
        <v>51.702127659574465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si="277"/>
        <v>0</v>
      </c>
      <c r="N658" s="497">
        <f t="shared" si="277"/>
        <v>4860</v>
      </c>
      <c r="O658" s="497">
        <f t="shared" ca="1" si="274"/>
        <v>51.702127659574465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v>0</v>
      </c>
      <c r="N660" s="93">
        <f>N661+N662+N663+N664</f>
        <v>4860</v>
      </c>
      <c r="O660" s="93">
        <f t="shared" ca="1" si="274"/>
        <v>51.702127659574465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4860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IFERROR(__xludf.DUMMYFUNCTION("IMPORTRANGE(""https://docs.google.com/spreadsheets/d/1QqKyyYR6Q21VydFLVH3TRQUabQu_ym0Zz7PgGX0-kHA/edit?usp=sharing"",""แผน!IA84"")"),50)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IFERROR(__xludf.DUMMYFUNCTION("IMPORTRANGE(""https://docs.google.com/spreadsheets/d/1QqKyyYR6Q21VydFLVH3TRQUabQu_ym0Zz7PgGX0-kHA/edit?usp=sharing"",""แผน!HZ84"")"),4)</f>
        <v>4</v>
      </c>
      <c r="J670" s="214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IFERROR(__xludf.DUMMYFUNCTION("IMPORTRANGE(""https://docs.google.com/spreadsheets/d/1QqKyyYR6Q21VydFLVH3TRQUabQu_ym0Zz7PgGX0-kHA/edit?usp=sharing"",""แผน!HZ84"")"),4)</f>
        <v>4</v>
      </c>
      <c r="J671" s="214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IFERROR(__xludf.DUMMYFUNCTION("IMPORTRANGE(""https://docs.google.com/spreadsheets/d/1QqKyyYR6Q21VydFLVH3TRQUabQu_ym0Zz7PgGX0-kHA/edit?usp=sharing"",""แผน!IB84"")"),0)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IFERROR(__xludf.DUMMYFUNCTION("IMPORTRANGE(""https://docs.google.com/spreadsheets/d/1QqKyyYR6Q21VydFLVH3TRQUabQu_ym0Zz7PgGX0-kHA/edit?usp=sharing"",""แผน!IC84"")"),0)</f>
        <v>0</v>
      </c>
      <c r="J699" s="269">
        <f ca="1">IFERROR(__xludf.DUMMYFUNCTION("IMPORTRANGE(""https://docs.google.com/spreadsheets/d/1XWAQStnk-4SwqDmLtmXYiTMKHgktTP8We1SCoS47DrQ/edit?usp=sharing"",""จัดที่ดิน!BB84"")"),0)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IFERROR(__xludf.DUMMYFUNCTION("IMPORTRANGE(""https://docs.google.com/spreadsheets/d/1QqKyyYR6Q21VydFLVH3TRQUabQu_ym0Zz7PgGX0-kHA/edit?usp=sharing"",""แผน!ID84"")"),0)</f>
        <v>0</v>
      </c>
      <c r="J700" s="269">
        <f ca="1">IFERROR(__xludf.DUMMYFUNCTION("IMPORTRANGE(""https://docs.google.com/spreadsheets/d/1XWAQStnk-4SwqDmLtmXYiTMKHgktTP8We1SCoS47DrQ/edit?usp=sharing"",""จัดที่ดิน!BD84"")"),0)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IFERROR(__xludf.DUMMYFUNCTION("IMPORTRANGE(""https://docs.google.com/spreadsheets/d/1QqKyyYR6Q21VydFLVH3TRQUabQu_ym0Zz7PgGX0-kHA/edit?usp=sharing"",""แผน!IE84"")"),0)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IFERROR(__xludf.DUMMYFUNCTION("IMPORTRANGE(""https://docs.google.com/spreadsheets/d/1QqKyyYR6Q21VydFLVH3TRQUabQu_ym0Zz7PgGX0-kHA/edit?usp=sharing"",""แผน!IF84"")"),0)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IFERROR(__xludf.DUMMYFUNCTION("IMPORTRANGE(""https://docs.google.com/spreadsheets/d/1QqKyyYR6Q21VydFLVH3TRQUabQu_ym0Zz7PgGX0-kHA/edit?usp=sharing"",""แผน!IG84"")"),0)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IFERROR(__xludf.DUMMYFUNCTION("IMPORTRANGE(""https://docs.google.com/spreadsheets/d/1QqKyyYR6Q21VydFLVH3TRQUabQu_ym0Zz7PgGX0-kHA/edit?usp=sharing"",""แผน!IH84"")"),0)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IFERROR(__xludf.DUMMYFUNCTION("IMPORTRANGE(""https://docs.google.com/spreadsheets/d/1XWAQStnk-4SwqDmLtmXYiTMKHgktTP8We1SCoS47DrQ/edit?usp=sharing"",""จัดที่ดิน!BF84"")"),0)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IFERROR(__xludf.DUMMYFUNCTION("IMPORTRANGE(""https://docs.google.com/spreadsheets/d/1XWAQStnk-4SwqDmLtmXYiTMKHgktTP8We1SCoS47DrQ/edit?usp=sharing"",""จัดที่ดิน!BG84"")"),0)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IFERROR(__xludf.DUMMYFUNCTION("IMPORTRANGE(""https://docs.google.com/spreadsheets/d/1QqKyyYR6Q21VydFLVH3TRQUabQu_ym0Zz7PgGX0-kHA/edit?usp=sharing"",""แผน!II84"")"),0)</f>
        <v>0</v>
      </c>
      <c r="J720" s="269">
        <f ca="1">IFERROR(__xludf.DUMMYFUNCTION("IMPORTRANGE(""https://docs.google.com/spreadsheets/d/1XWAQStnk-4SwqDmLtmXYiTMKHgktTP8We1SCoS47DrQ/edit?usp=sharing"",""จัดที่ดิน!BH84"")"),0)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IFERROR(__xludf.DUMMYFUNCTION("IMPORTRANGE(""https://docs.google.com/spreadsheets/d/1QqKyyYR6Q21VydFLVH3TRQUabQu_ym0Zz7PgGX0-kHA/edit?usp=sharing"",""แผน!IJ84"")"),0)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IFERROR(__xludf.DUMMYFUNCTION("IMPORTRANGE(""https://docs.google.com/spreadsheets/d/1QqKyyYR6Q21VydFLVH3TRQUabQu_ym0Zz7PgGX0-kHA/edit?usp=sharing"",""แผน!IK84"")"),0)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IFERROR(__xludf.DUMMYFUNCTION("IMPORTRANGE(""https://docs.google.com/spreadsheets/d/1QqKyyYR6Q21VydFLVH3TRQUabQu_ym0Zz7PgGX0-kHA/edit?usp=sharing"",""แผน!IL84"")"),0)</f>
        <v>0</v>
      </c>
      <c r="J723" s="269">
        <f ca="1">IFERROR(__xludf.DUMMYFUNCTION("IMPORTRANGE(""https://docs.google.com/spreadsheets/d/1XWAQStnk-4SwqDmLtmXYiTMKHgktTP8We1SCoS47DrQ/edit?usp=sharing"",""จัดที่ดิน!BM84"")"),0)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IFERROR(__xludf.DUMMYFUNCTION("IMPORTRANGE(""https://docs.google.com/spreadsheets/d/1XWAQStnk-4SwqDmLtmXYiTMKHgktTP8We1SCoS47DrQ/edit?usp=sharing"",""จัดที่ดิน!BN84"")"),0)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IFERROR(__xludf.DUMMYFUNCTION("IMPORTRANGE(""https://docs.google.com/spreadsheets/d/1QqKyyYR6Q21VydFLVH3TRQUabQu_ym0Zz7PgGX0-kHA/edit?usp=sharing"",""แผน!IM84"")"),0)</f>
        <v>0</v>
      </c>
      <c r="J725" s="269">
        <f ca="1">IFERROR(__xludf.DUMMYFUNCTION("IMPORTRANGE(""https://docs.google.com/spreadsheets/d/1XWAQStnk-4SwqDmLtmXYiTMKHgktTP8We1SCoS47DrQ/edit?usp=sharing"",""จัดที่ดิน!BO84"")"),0)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IFERROR(__xludf.DUMMYFUNCTION("IMPORTRANGE(""https://docs.google.com/spreadsheets/d/1QqKyyYR6Q21VydFLVH3TRQUabQu_ym0Zz7PgGX0-kHA/edit?usp=sharing"",""แผน!IN84"")"),0)</f>
        <v>0</v>
      </c>
      <c r="J726" s="269">
        <f ca="1">IFERROR(__xludf.DUMMYFUNCTION("IMPORTRANGE(""https://docs.google.com/spreadsheets/d/1XWAQStnk-4SwqDmLtmXYiTMKHgktTP8We1SCoS47DrQ/edit?usp=sharing"",""จัดที่ดิน!BR84"")"),0)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IFERROR(__xludf.DUMMYFUNCTION("IMPORTRANGE(""https://docs.google.com/spreadsheets/d/1XWAQStnk-4SwqDmLtmXYiTMKHgktTP8We1SCoS47DrQ/edit?usp=sharing"",""จัดที่ดิน!BS84"")"),0)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IFERROR(__xludf.DUMMYFUNCTION("IMPORTRANGE(""https://docs.google.com/spreadsheets/d/1QqKyyYR6Q21VydFLVH3TRQUabQu_ym0Zz7PgGX0-kHA/edit?usp=sharing"",""แผน!IO84"")"),0)</f>
        <v>0</v>
      </c>
      <c r="J728" s="269">
        <f ca="1">IFERROR(__xludf.DUMMYFUNCTION("IMPORTRANGE(""https://docs.google.com/spreadsheets/d/1XWAQStnk-4SwqDmLtmXYiTMKHgktTP8We1SCoS47DrQ/edit?usp=sharing"",""จัดที่ดิน!BT84"")"),0)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IFERROR(__xludf.DUMMYFUNCTION("IMPORTRANGE(""https://docs.google.com/spreadsheets/d/1QqKyyYR6Q21VydFLVH3TRQUabQu_ym0Zz7PgGX0-kHA/edit?usp=sharing"",""แผน!IP84"")"),0)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IFERROR(__xludf.DUMMYFUNCTION("IMPORTRANGE(""https://docs.google.com/spreadsheets/d/1MaWodYyGHDf7siQLGxnXhG4mBNTNIuy296niS2xXulU/edit?usp=sharing"",""RTK!I84"")"),0)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341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69">
        <f ca="1">IFERROR(__xludf.DUMMYFUNCTION("IMPORTRANGE(""https://docs.google.com/spreadsheets/d/19vJNZY_5yjcGF2XGBMNZRCAIB0Kwfpjp8YEOfu-bneM/edit?usp=sharing"",""งานกองทุน!F84"")"),1954.39)</f>
        <v>1954.39</v>
      </c>
      <c r="K821" s="497">
        <f t="shared" ref="K821:K828" ca="1" si="335">IF(I821&gt;0,J821*100/I821,0)</f>
        <v>0.26284526642020356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IFERROR(__xludf.DUMMYFUNCTION("IMPORTRANGE(""https://docs.google.com/spreadsheets/d/19vJNZY_5yjcGF2XGBMNZRCAIB0Kwfpjp8YEOfu-bneM/edit?usp=sharing"",""งานกองทุน!C84"")"),68)</f>
        <v>68</v>
      </c>
      <c r="J822" s="269">
        <f ca="1">IFERROR(__xludf.DUMMYFUNCTION("IMPORTRANGE(""https://docs.google.com/spreadsheets/d/19vJNZY_5yjcGF2XGBMNZRCAIB0Kwfpjp8YEOfu-bneM/edit?usp=sharing"",""งานกองทุน!E84"")"),1)</f>
        <v>1</v>
      </c>
      <c r="K822" s="497">
        <f t="shared" ca="1" si="335"/>
        <v>1.4705882352941178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IFERROR(__xludf.DUMMYFUNCTION("IMPORTRANGE(""https://docs.google.com/spreadsheets/d/19vJNZY_5yjcGF2XGBMNZRCAIB0Kwfpjp8YEOfu-bneM/edit?usp=sharing"",""งานกองทุน!I84"")"),35881.65)</f>
        <v>35881.65</v>
      </c>
      <c r="J823" s="269">
        <f ca="1">IFERROR(__xludf.DUMMYFUNCTION("IMPORTRANGE(""https://docs.google.com/spreadsheets/d/19vJNZY_5yjcGF2XGBMNZRCAIB0Kwfpjp8YEOfu-bneM/edit?usp=sharing"",""งานกองทุน!K84"")"),474.03)</f>
        <v>474.03</v>
      </c>
      <c r="K823" s="497">
        <f t="shared" ca="1" si="335"/>
        <v>1.3210930935450291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IFERROR(__xludf.DUMMYFUNCTION("IMPORTRANGE(""https://docs.google.com/spreadsheets/d/19vJNZY_5yjcGF2XGBMNZRCAIB0Kwfpjp8YEOfu-bneM/edit?usp=sharing"",""งานกองทุน!H84"")"),2)</f>
        <v>2</v>
      </c>
      <c r="J824" s="269">
        <f ca="1">IFERROR(__xludf.DUMMYFUNCTION("IMPORTRANGE(""https://docs.google.com/spreadsheets/d/19vJNZY_5yjcGF2XGBMNZRCAIB0Kwfpjp8YEOfu-bneM/edit?usp=sharing"",""งานกองทุน!J84"")"),1)</f>
        <v>1</v>
      </c>
      <c r="K824" s="497">
        <f t="shared" ca="1" si="335"/>
        <v>50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IFERROR(__xludf.DUMMYFUNCTION("IMPORTRANGE(""https://docs.google.com/spreadsheets/d/19vJNZY_5yjcGF2XGBMNZRCAIB0Kwfpjp8YEOfu-bneM/edit?usp=sharing"",""งานกองทุน!N84"")"),58877.9)</f>
        <v>58877.9</v>
      </c>
      <c r="J825" s="269">
        <f ca="1">IFERROR(__xludf.DUMMYFUNCTION("IMPORTRANGE(""https://docs.google.com/spreadsheets/d/19vJNZY_5yjcGF2XGBMNZRCAIB0Kwfpjp8YEOfu-bneM/edit?usp=sharing"",""งานกองทุน!P84"")"),5366.84)</f>
        <v>5366.84</v>
      </c>
      <c r="K825" s="497">
        <f t="shared" ca="1" si="335"/>
        <v>9.1152028180352893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IFERROR(__xludf.DUMMYFUNCTION("IMPORTRANGE(""https://docs.google.com/spreadsheets/d/19vJNZY_5yjcGF2XGBMNZRCAIB0Kwfpjp8YEOfu-bneM/edit?usp=sharing"",""งานกองทุน!M84"")"),149)</f>
        <v>149</v>
      </c>
      <c r="J826" s="269">
        <f ca="1">IFERROR(__xludf.DUMMYFUNCTION("IMPORTRANGE(""https://docs.google.com/spreadsheets/d/19vJNZY_5yjcGF2XGBMNZRCAIB0Kwfpjp8YEOfu-bneM/edit?usp=sharing"",""งานกองทุน!O84"")"),24)</f>
        <v>24</v>
      </c>
      <c r="K826" s="497">
        <f t="shared" ca="1" si="335"/>
        <v>16.107382550335572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IFERROR(__xludf.DUMMYFUNCTION("IMPORTRANGE(""https://docs.google.com/spreadsheets/d/19vJNZY_5yjcGF2XGBMNZRCAIB0Kwfpjp8YEOfu-bneM/edit?usp=sharing"",""งานกองทุน!S84"")"),300000)</f>
        <v>300000</v>
      </c>
      <c r="J827" s="269">
        <f ca="1">IFERROR(__xludf.DUMMYFUNCTION("IMPORTRANGE(""https://docs.google.com/spreadsheets/d/19vJNZY_5yjcGF2XGBMNZRCAIB0Kwfpjp8YEOfu-bneM/edit?usp=sharing"",""งานกองทุน!U84"")"),0)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IFERROR(__xludf.DUMMYFUNCTION("IMPORTRANGE(""https://docs.google.com/spreadsheets/d/19vJNZY_5yjcGF2XGBMNZRCAIB0Kwfpjp8YEOfu-bneM/edit?usp=sharing"",""งานกองทุน!R84"")"),12)</f>
        <v>12</v>
      </c>
      <c r="J828" s="500">
        <f ca="1">IFERROR(__xludf.DUMMYFUNCTION("IMPORTRANGE(""https://docs.google.com/spreadsheets/d/19vJNZY_5yjcGF2XGBMNZRCAIB0Kwfpjp8YEOfu-bneM/edit?usp=sharing"",""งานกองทุน!T84"")"),0)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83E48-E4AF-494D-A4B0-756E3FA10DC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350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3752108</v>
      </c>
      <c r="M8" s="22">
        <f t="shared" ca="1" si="0"/>
        <v>1119850</v>
      </c>
      <c r="N8" s="22">
        <f t="shared" ca="1" si="0"/>
        <v>507641.37</v>
      </c>
      <c r="O8" s="22">
        <f t="shared" ref="O8:O16" ca="1" si="1">IF(L8&gt;0,N8*100/L8,0)</f>
        <v>13.529497818293077</v>
      </c>
      <c r="P8" s="22">
        <f t="shared" ref="P8:P16" ca="1" si="2">IF(M8&gt;0,N8*100/M8,0)</f>
        <v>45.33119346341028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3752108</v>
      </c>
      <c r="M10" s="30">
        <f t="shared" ca="1" si="3"/>
        <v>1119850</v>
      </c>
      <c r="N10" s="30">
        <f t="shared" ca="1" si="3"/>
        <v>507641.37</v>
      </c>
      <c r="O10" s="30">
        <f t="shared" ca="1" si="1"/>
        <v>13.529497818293077</v>
      </c>
      <c r="P10" s="30">
        <f t="shared" ca="1" si="2"/>
        <v>45.33119346341028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3706108</v>
      </c>
      <c r="M11" s="497">
        <f t="shared" ca="1" si="4"/>
        <v>1073850</v>
      </c>
      <c r="N11" s="497">
        <f t="shared" ca="1" si="4"/>
        <v>461641.37</v>
      </c>
      <c r="O11" s="497">
        <f t="shared" ca="1" si="1"/>
        <v>12.456230903146913</v>
      </c>
      <c r="P11" s="497">
        <f t="shared" ca="1" si="2"/>
        <v>42.989371886203848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3706108</v>
      </c>
      <c r="M13" s="93">
        <f t="shared" ca="1" si="5"/>
        <v>1073850</v>
      </c>
      <c r="N13" s="93">
        <f t="shared" ca="1" si="5"/>
        <v>461641.37</v>
      </c>
      <c r="O13" s="93">
        <f t="shared" ca="1" si="1"/>
        <v>12.456230903146913</v>
      </c>
      <c r="P13" s="93">
        <f t="shared" ca="1" si="2"/>
        <v>42.989371886203848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46000</v>
      </c>
      <c r="M14" s="497">
        <f t="shared" ca="1" si="6"/>
        <v>46000</v>
      </c>
      <c r="N14" s="497">
        <f t="shared" ca="1" si="6"/>
        <v>46000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46000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1119850</v>
      </c>
      <c r="N18" s="22">
        <f t="shared" ca="1" si="8"/>
        <v>507641.37</v>
      </c>
      <c r="O18" s="22">
        <f t="shared" ref="O18:O26" ca="1" si="9">IF(L18&gt;0,N18*100/L18,0)</f>
        <v>22.912243239949628</v>
      </c>
      <c r="P18" s="22">
        <f t="shared" ref="P18:P26" ca="1" si="10">IF(M18&gt;0,N18*100/M18,0)</f>
        <v>45.33119346341028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1119850</v>
      </c>
      <c r="N20" s="30">
        <f t="shared" ca="1" si="11"/>
        <v>507641.37</v>
      </c>
      <c r="O20" s="30">
        <f t="shared" ca="1" si="9"/>
        <v>22.912243239949628</v>
      </c>
      <c r="P20" s="30">
        <f t="shared" ca="1" si="10"/>
        <v>45.33119346341028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2169590</v>
      </c>
      <c r="M21" s="497">
        <f t="shared" ca="1" si="12"/>
        <v>1073850</v>
      </c>
      <c r="N21" s="497">
        <f t="shared" ca="1" si="12"/>
        <v>461641.37</v>
      </c>
      <c r="O21" s="497">
        <f t="shared" ca="1" si="9"/>
        <v>21.277816085066764</v>
      </c>
      <c r="P21" s="497">
        <f t="shared" ca="1" si="10"/>
        <v>42.989371886203848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2169590</v>
      </c>
      <c r="M23" s="93">
        <f t="shared" ca="1" si="13"/>
        <v>1073850</v>
      </c>
      <c r="N23" s="93">
        <f t="shared" ca="1" si="13"/>
        <v>461641.37</v>
      </c>
      <c r="O23" s="93">
        <f t="shared" ca="1" si="9"/>
        <v>21.277816085066764</v>
      </c>
      <c r="P23" s="93">
        <f t="shared" ca="1" si="10"/>
        <v>42.989371886203848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46000</v>
      </c>
      <c r="M24" s="497">
        <f t="shared" ca="1" si="14"/>
        <v>46000</v>
      </c>
      <c r="N24" s="497">
        <f t="shared" ca="1" si="14"/>
        <v>46000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46000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1536518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1536518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1536518</v>
      </c>
      <c r="M31" s="497">
        <f t="shared" si="20"/>
        <v>0</v>
      </c>
      <c r="N31" s="497">
        <f t="shared" si="20"/>
        <v>0</v>
      </c>
      <c r="O31" s="497">
        <f t="shared" ca="1" si="17"/>
        <v>0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1536518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2215590</v>
      </c>
      <c r="M37" s="59">
        <f t="shared" ca="1" si="24"/>
        <v>1119850</v>
      </c>
      <c r="N37" s="59">
        <f t="shared" ca="1" si="24"/>
        <v>507641.37</v>
      </c>
      <c r="O37" s="873">
        <f t="shared" ca="1" si="17"/>
        <v>22.912243239949628</v>
      </c>
      <c r="P37" s="874">
        <f t="shared" ca="1" si="18"/>
        <v>45.33119346341028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108500</v>
      </c>
      <c r="N41" s="85">
        <f t="shared" ca="1" si="25"/>
        <v>61666</v>
      </c>
      <c r="O41" s="85">
        <f t="shared" ref="O41:O49" ca="1" si="26">IF(L41&gt;0,N41*100/L41,0)</f>
        <v>31.852272727272727</v>
      </c>
      <c r="P41" s="85">
        <f t="shared" ref="P41:P49" ca="1" si="27">IF(M41&gt;0,N41*100/M41,0)</f>
        <v>56.835023041474656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108500</v>
      </c>
      <c r="N43" s="92">
        <f t="shared" ca="1" si="28"/>
        <v>61666</v>
      </c>
      <c r="O43" s="92">
        <f t="shared" ca="1" si="26"/>
        <v>31.852272727272727</v>
      </c>
      <c r="P43" s="92">
        <f t="shared" ca="1" si="27"/>
        <v>56.835023041474656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193600</v>
      </c>
      <c r="M44" s="497">
        <f t="shared" ca="1" si="29"/>
        <v>108500</v>
      </c>
      <c r="N44" s="497">
        <f t="shared" ca="1" si="29"/>
        <v>61666</v>
      </c>
      <c r="O44" s="497">
        <f t="shared" ca="1" si="26"/>
        <v>31.852272727272727</v>
      </c>
      <c r="P44" s="497">
        <f t="shared" ca="1" si="27"/>
        <v>56.835023041474656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IFERROR(__xludf.DUMMYFUNCTION("IMPORTRANGE(""https://docs.google.com/spreadsheets/d/1MeEWN-I1oV_STSDYn1IFDPWt_1FKiwhDph83XaGc0o0/edit?usp=sharing"",""งบพรบ!R85"")"),108500)</f>
        <v>108500</v>
      </c>
      <c r="N46" s="93">
        <f ca="1">IFERROR(__xludf.DUMMYFUNCTION("IMPORTRANGE(""https://docs.google.com/spreadsheets/d/1MeEWN-I1oV_STSDYn1IFDPWt_1FKiwhDph83XaGc0o0/edit?usp=sharing"",""งบพรบ!T85"")"),61666)</f>
        <v>61666</v>
      </c>
      <c r="O46" s="93">
        <f t="shared" ca="1" si="26"/>
        <v>31.852272727272727</v>
      </c>
      <c r="P46" s="93">
        <f t="shared" ca="1" si="27"/>
        <v>56.835023041474656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324950</v>
      </c>
      <c r="N53" s="116">
        <f t="shared" ca="1" si="31"/>
        <v>235267.37</v>
      </c>
      <c r="O53" s="116">
        <f t="shared" ref="O53:O61" ca="1" si="32">IF(L53&gt;0,N53*100/L53,0)</f>
        <v>36.7089046653144</v>
      </c>
      <c r="P53" s="116">
        <f t="shared" ref="P53:P61" ca="1" si="33">IF(M53&gt;0,N53*100/M53,0)</f>
        <v>72.40109863055855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324950</v>
      </c>
      <c r="N55" s="123">
        <f t="shared" ca="1" si="34"/>
        <v>235267.37</v>
      </c>
      <c r="O55" s="123">
        <f t="shared" ca="1" si="32"/>
        <v>36.7089046653144</v>
      </c>
      <c r="P55" s="123">
        <f t="shared" ca="1" si="33"/>
        <v>72.40109863055855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640900</v>
      </c>
      <c r="M56" s="497">
        <f t="shared" ca="1" si="35"/>
        <v>324950</v>
      </c>
      <c r="N56" s="497">
        <f t="shared" ca="1" si="35"/>
        <v>235267.37</v>
      </c>
      <c r="O56" s="497">
        <f t="shared" ca="1" si="32"/>
        <v>36.7089046653144</v>
      </c>
      <c r="P56" s="497">
        <f t="shared" ca="1" si="33"/>
        <v>72.40109863055855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IFERROR(__xludf.DUMMYFUNCTION("IMPORTRANGE(""https://docs.google.com/spreadsheets/d/1MeEWN-I1oV_STSDYn1IFDPWt_1FKiwhDph83XaGc0o0/edit?usp=sharing"",""งบพรบ!AB85"")"),324950)</f>
        <v>324950</v>
      </c>
      <c r="N58" s="93">
        <f ca="1">IFERROR(__xludf.DUMMYFUNCTION("IMPORTRANGE(""https://docs.google.com/spreadsheets/d/1MeEWN-I1oV_STSDYn1IFDPWt_1FKiwhDph83XaGc0o0/edit?usp=sharing"",""งบพรบ!AD85"")"),235267.37)</f>
        <v>235267.37</v>
      </c>
      <c r="O58" s="93">
        <f t="shared" ca="1" si="32"/>
        <v>36.7089046653144</v>
      </c>
      <c r="P58" s="93">
        <f t="shared" ca="1" si="33"/>
        <v>72.40109863055855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IFERROR(__xludf.DUMMYFUNCTION("IMPORTRANGE(""https://docs.google.com/spreadsheets/d/1MeEWN-I1oV_STSDYn1IFDPWt_1FKiwhDph83XaGc0o0/edit?usp=sharing"",""งบพรบ!AC85"")"),0)</f>
        <v>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376140</v>
      </c>
      <c r="M88" s="155">
        <f t="shared" ca="1" si="49"/>
        <v>166990</v>
      </c>
      <c r="N88" s="155">
        <f t="shared" ca="1" si="49"/>
        <v>57640</v>
      </c>
      <c r="O88" s="155">
        <f t="shared" ref="O88:O96" ca="1" si="50">IF(L88&gt;0,N88*100/L88,0)</f>
        <v>15.324081459031213</v>
      </c>
      <c r="P88" s="155">
        <f t="shared" ref="P88:P96" ca="1" si="51">IF(M88&gt;0,N88*100/M88,0)</f>
        <v>34.517036948320261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376140</v>
      </c>
      <c r="M90" s="93">
        <f t="shared" ca="1" si="52"/>
        <v>166990</v>
      </c>
      <c r="N90" s="93">
        <f t="shared" ca="1" si="52"/>
        <v>57640</v>
      </c>
      <c r="O90" s="93">
        <f t="shared" ca="1" si="50"/>
        <v>15.324081459031213</v>
      </c>
      <c r="P90" s="93">
        <f t="shared" ca="1" si="51"/>
        <v>34.517036948320261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376140</v>
      </c>
      <c r="M91" s="497">
        <f t="shared" ca="1" si="53"/>
        <v>166990</v>
      </c>
      <c r="N91" s="497">
        <f t="shared" ca="1" si="53"/>
        <v>57640</v>
      </c>
      <c r="O91" s="497">
        <f t="shared" ca="1" si="50"/>
        <v>15.324081459031213</v>
      </c>
      <c r="P91" s="497">
        <f t="shared" ca="1" si="51"/>
        <v>34.517036948320261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IFERROR(__xludf.DUMMYFUNCTION("IMPORTRANGE(""https://docs.google.com/spreadsheets/d/1MeEWN-I1oV_STSDYn1IFDPWt_1FKiwhDph83XaGc0o0/edit?usp=sharing"",""งบพรบ!AV85"")"),166990)</f>
        <v>166990</v>
      </c>
      <c r="N93" s="93">
        <f ca="1">IFERROR(__xludf.DUMMYFUNCTION("IMPORTRANGE(""https://docs.google.com/spreadsheets/d/1MeEWN-I1oV_STSDYn1IFDPWt_1FKiwhDph83XaGc0o0/edit?usp=sharing"",""งบพรบ!AX85"")"),57640)</f>
        <v>57640</v>
      </c>
      <c r="O93" s="93">
        <f t="shared" ca="1" si="50"/>
        <v>15.324081459031213</v>
      </c>
      <c r="P93" s="93">
        <f t="shared" ca="1" si="51"/>
        <v>34.517036948320261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IFERROR(__xludf.DUMMYFUNCTION("IMPORTRANGE(""https://docs.google.com/spreadsheets/d/1QqKyyYR6Q21VydFLVH3TRQUabQu_ym0Zz7PgGX0-kHA/edit?usp=sharing"",""แผน!K85"")"),30)</f>
        <v>30</v>
      </c>
      <c r="J98" s="269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IFERROR(__xludf.DUMMYFUNCTION("IMPORTRANGE(""https://docs.google.com/spreadsheets/d/1QqKyyYR6Q21VydFLVH3TRQUabQu_ym0Zz7PgGX0-kHA/edit?usp=sharing"",""แผน!L85"")"),10)</f>
        <v>10</v>
      </c>
      <c r="J99" s="269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IFERROR(__xludf.DUMMYFUNCTION("IMPORTRANGE(""https://docs.google.com/spreadsheets/d/1QqKyyYR6Q21VydFLVH3TRQUabQu_ym0Zz7PgGX0-kHA/edit?usp=sharing"",""แผน!M85"")"),2)</f>
        <v>2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IFERROR(__xludf.DUMMYFUNCTION("IMPORTRANGE(""https://docs.google.com/spreadsheets/d/1QqKyyYR6Q21VydFLVH3TRQUabQu_ym0Zz7PgGX0-kHA/edit?usp=sharing"",""แผน!N85"")"),30)</f>
        <v>30</v>
      </c>
      <c r="J102" s="214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IFERROR(__xludf.DUMMYFUNCTION("IMPORTRANGE(""https://docs.google.com/spreadsheets/d/1QqKyyYR6Q21VydFLVH3TRQUabQu_ym0Zz7PgGX0-kHA/edit?usp=sharing"",""แผน!O85"")"),10)</f>
        <v>10</v>
      </c>
      <c r="J103" s="214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IFERROR(__xludf.DUMMYFUNCTION("IMPORTRANGE(""https://docs.google.com/spreadsheets/d/1QqKyyYR6Q21VydFLVH3TRQUabQu_ym0Zz7PgGX0-kHA/edit?usp=sharing"",""แผน!O85"")"),10)</f>
        <v>10</v>
      </c>
      <c r="J104" s="214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IFERROR(__xludf.DUMMYFUNCTION("IMPORTRANGE(""https://docs.google.com/spreadsheets/d/1QqKyyYR6Q21VydFLVH3TRQUabQu_ym0Zz7PgGX0-kHA/edit?usp=sharing"",""แผน!P85"")"),1)</f>
        <v>1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IFERROR(__xludf.DUMMYFUNCTION("IMPORTRANGE(""https://docs.google.com/spreadsheets/d/1QqKyyYR6Q21VydFLVH3TRQUabQu_ym0Zz7PgGX0-kHA/edit?usp=sharing"",""แผน!P85"")"),1)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IFERROR(__xludf.DUMMYFUNCTION("IMPORTRANGE(""https://docs.google.com/spreadsheets/d/1QqKyyYR6Q21VydFLVH3TRQUabQu_ym0Zz7PgGX0-kHA/edit?usp=sharing"",""แผน!Q85"")"),1)</f>
        <v>1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IFERROR(__xludf.DUMMYFUNCTION("IMPORTRANGE(""https://docs.google.com/spreadsheets/d/1QqKyyYR6Q21VydFLVH3TRQUabQu_ym0Zz7PgGX0-kHA/edit?usp=sharing"",""แผน!Q85"")"),1)</f>
        <v>1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IFERROR(__xludf.DUMMYFUNCTION("IMPORTRANGE(""https://docs.google.com/spreadsheets/d/1QqKyyYR6Q21VydFLVH3TRQUabQu_ym0Zz7PgGX0-kHA/edit?usp=sharing"",""แผน!U85"")"),0)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IFERROR(__xludf.DUMMYFUNCTION("IMPORTRANGE(""https://docs.google.com/spreadsheets/d/1QqKyyYR6Q21VydFLVH3TRQUabQu_ym0Zz7PgGX0-kHA/edit?usp=sharing"",""แผน!V85"")"),0)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IFERROR(__xludf.DUMMYFUNCTION("IMPORTRANGE(""https://docs.google.com/spreadsheets/d/1QqKyyYR6Q21VydFLVH3TRQUabQu_ym0Zz7PgGX0-kHA/edit?usp=sharing"",""แผน!W85"")"),0)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IFERROR(__xludf.DUMMYFUNCTION("IMPORTRANGE(""https://docs.google.com/spreadsheets/d/1QqKyyYR6Q21VydFLVH3TRQUabQu_ym0Zz7PgGX0-kHA/edit?usp=sharing"",""แผน!X85"")"),0)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10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IFERROR(__xludf.DUMMYFUNCTION("IMPORTRANGE(""https://docs.google.com/spreadsheets/d/1MeEWN-I1oV_STSDYn1IFDPWt_1FKiwhDph83XaGc0o0/edit?usp=sharing"",""งบพรบ!CJ85"")"),21050)</f>
        <v>21050</v>
      </c>
      <c r="N170" s="93">
        <f ca="1">IFERROR(__xludf.DUMMYFUNCTION("IMPORTRANGE(""https://docs.google.com/spreadsheets/d/1MeEWN-I1oV_STSDYn1IFDPWt_1FKiwhDph83XaGc0o0/edit?usp=sharing"",""งบพรบ!CL85"")"),0)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IFERROR(__xludf.DUMMYFUNCTION("IMPORTRANGE(""https://docs.google.com/spreadsheets/d/1QqKyyYR6Q21VydFLVH3TRQUabQu_ym0Zz7PgGX0-kHA/edit?usp=sharing"",""แผน!Y85"")"),10)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182100</v>
      </c>
      <c r="M181" s="155">
        <f t="shared" ca="1" si="92"/>
        <v>86000</v>
      </c>
      <c r="N181" s="155">
        <f t="shared" ca="1" si="92"/>
        <v>8250</v>
      </c>
      <c r="O181" s="155">
        <f t="shared" ref="O181:O189" ca="1" si="93">IF(L181&gt;0,N181*100/L181,0)</f>
        <v>4.5304777594728174</v>
      </c>
      <c r="P181" s="155">
        <f t="shared" ref="P181:P189" ca="1" si="94">IF(M181&gt;0,N181*100/M181,0)</f>
        <v>9.5930232558139537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182100</v>
      </c>
      <c r="M183" s="93">
        <f t="shared" ca="1" si="95"/>
        <v>86000</v>
      </c>
      <c r="N183" s="93">
        <f t="shared" ca="1" si="95"/>
        <v>8250</v>
      </c>
      <c r="O183" s="93">
        <f t="shared" ca="1" si="93"/>
        <v>4.5304777594728174</v>
      </c>
      <c r="P183" s="93">
        <f t="shared" ca="1" si="94"/>
        <v>9.5930232558139537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182100</v>
      </c>
      <c r="M184" s="497">
        <f t="shared" ca="1" si="96"/>
        <v>86000</v>
      </c>
      <c r="N184" s="497">
        <f t="shared" ca="1" si="96"/>
        <v>8250</v>
      </c>
      <c r="O184" s="497">
        <f t="shared" ca="1" si="93"/>
        <v>4.5304777594728174</v>
      </c>
      <c r="P184" s="497">
        <f t="shared" ca="1" si="94"/>
        <v>9.5930232558139537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IFERROR(__xludf.DUMMYFUNCTION("IMPORTRANGE(""https://docs.google.com/spreadsheets/d/1MeEWN-I1oV_STSDYn1IFDPWt_1FKiwhDph83XaGc0o0/edit?usp=sharing"",""งบพรบ!CT85"")"),86000)</f>
        <v>86000</v>
      </c>
      <c r="N186" s="93">
        <f ca="1">IFERROR(__xludf.DUMMYFUNCTION("IMPORTRANGE(""https://docs.google.com/spreadsheets/d/1MeEWN-I1oV_STSDYn1IFDPWt_1FKiwhDph83XaGc0o0/edit?usp=sharing"",""งบพรบ!CV85"")"),8250)</f>
        <v>8250</v>
      </c>
      <c r="O186" s="93">
        <f t="shared" ca="1" si="93"/>
        <v>4.5304777594728174</v>
      </c>
      <c r="P186" s="93">
        <f t="shared" ca="1" si="94"/>
        <v>9.5930232558139537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IFERROR(__xludf.DUMMYFUNCTION("IMPORTRANGE(""https://docs.google.com/spreadsheets/d/1QqKyyYR6Q21VydFLVH3TRQUabQu_ym0Zz7PgGX0-kHA/edit?usp=sharing"",""แผน!AC85"")"),4)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42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42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IFERROR(__xludf.DUMMYFUNCTION("IMPORTRANGE(""https://docs.google.com/spreadsheets/d/1QqKyyYR6Q21VydFLVH3TRQUabQu_ym0Zz7PgGX0-kHA/edit?usp=sharing"",""แผน!AE85"")"),2000)</f>
        <v>2000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IFERROR(__xludf.DUMMYFUNCTION("IMPORTRANGE(""https://docs.google.com/spreadsheets/d/1QqKyyYR6Q21VydFLVH3TRQUabQu_ym0Zz7PgGX0-kHA/edit?usp=sharing"",""แผน!AF85"")"),16000)</f>
        <v>16000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IFERROR(__xludf.DUMMYFUNCTION("IMPORTRANGE(""https://docs.google.com/spreadsheets/d/1QqKyyYR6Q21VydFLVH3TRQUabQu_ym0Zz7PgGX0-kHA/edit?usp=sharing"",""แผน!AG85"")"),8000)</f>
        <v>8000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IFERROR(__xludf.DUMMYFUNCTION("IMPORTRANGE(""https://docs.google.com/spreadsheets/d/1QqKyyYR6Q21VydFLVH3TRQUabQu_ym0Zz7PgGX0-kHA/edit?usp=sharing"",""แผน!AH85"")"),0)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IFERROR(__xludf.DUMMYFUNCTION("IMPORTRANGE(""https://docs.google.com/spreadsheets/d/1QqKyyYR6Q21VydFLVH3TRQUabQu_ym0Zz7PgGX0-kHA/edit?usp=sharing"",""แผน!AI85"")"),2)</f>
        <v>2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IFERROR(__xludf.DUMMYFUNCTION("IMPORTRANGE(""https://docs.google.com/spreadsheets/d/1QqKyyYR6Q21VydFLVH3TRQUabQu_ym0Zz7PgGX0-kHA/edit?usp=sharing"",""แผน!AK85"")"),0)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IFERROR(__xludf.DUMMYFUNCTION("IMPORTRANGE(""https://docs.google.com/spreadsheets/d/1QqKyyYR6Q21VydFLVH3TRQUabQu_ym0Zz7PgGX0-kHA/edit?usp=sharing"",""แผน!AL85"")"),0)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IFERROR(__xludf.DUMMYFUNCTION("IMPORTRANGE(""https://docs.google.com/spreadsheets/d/1QqKyyYR6Q21VydFLVH3TRQUabQu_ym0Zz7PgGX0-kHA/edit?usp=sharing"",""แผน!AM85"")"),0)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IFERROR(__xludf.DUMMYFUNCTION("IMPORTRANGE(""https://docs.google.com/spreadsheets/d/1QqKyyYR6Q21VydFLVH3TRQUabQu_ym0Zz7PgGX0-kHA/edit?usp=sharing"",""แผน!AN85"")"),0)</f>
        <v>0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IFERROR(__xludf.DUMMYFUNCTION("IMPORTRANGE(""https://docs.google.com/spreadsheets/d/1QqKyyYR6Q21VydFLVH3TRQUabQu_ym0Zz7PgGX0-kHA/edit?usp=sharing"",""แผน!AN85"")"),0)</f>
        <v>0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12800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IFERROR(__xludf.DUMMYFUNCTION("IMPORTRANGE(""https://docs.google.com/spreadsheets/d/1QqKyyYR6Q21VydFLVH3TRQUabQu_ym0Zz7PgGX0-kHA/edit?usp=sharing"",""แผน!AP85"")"),3000)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IFERROR(__xludf.DUMMYFUNCTION("IMPORTRANGE(""https://docs.google.com/spreadsheets/d/1QqKyyYR6Q21VydFLVH3TRQUabQu_ym0Zz7PgGX0-kHA/edit?usp=sharing"",""แผน!AQ85"")"),4100)</f>
        <v>4100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IFERROR(__xludf.DUMMYFUNCTION("IMPORTRANGE(""https://docs.google.com/spreadsheets/d/1QqKyyYR6Q21VydFLVH3TRQUabQu_ym0Zz7PgGX0-kHA/edit?usp=sharing"",""แผน!AR85"")"),0)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IFERROR(__xludf.DUMMYFUNCTION("IMPORTRANGE(""https://docs.google.com/spreadsheets/d/1QqKyyYR6Q21VydFLVH3TRQUabQu_ym0Zz7PgGX0-kHA/edit?usp=sharing"",""แผน!AT85"")"),12800)</f>
        <v>12800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IFERROR(__xludf.DUMMYFUNCTION("IMPORTRANGE(""https://docs.google.com/spreadsheets/d/1QqKyyYR6Q21VydFLVH3TRQUabQu_ym0Zz7PgGX0-kHA/edit?usp=sharing"",""แผน!AT85"")"),12800)</f>
        <v>12800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IFERROR(__xludf.DUMMYFUNCTION("IMPORTRANGE(""https://docs.google.com/spreadsheets/d/1QqKyyYR6Q21VydFLVH3TRQUabQu_ym0Zz7PgGX0-kHA/edit?usp=sharing"",""แผน!AS85"")"),0)</f>
        <v>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IFERROR(__xludf.DUMMYFUNCTION("IMPORTRANGE(""https://docs.google.com/spreadsheets/d/1QqKyyYR6Q21VydFLVH3TRQUabQu_ym0Zz7PgGX0-kHA/edit?usp=sharing"",""แผน!AV85"")"),0)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IFERROR(__xludf.DUMMYFUNCTION("IMPORTRANGE(""https://docs.google.com/spreadsheets/d/1QqKyyYR6Q21VydFLVH3TRQUabQu_ym0Zz7PgGX0-kHA/edit?usp=sharing"",""แผน!AW85"")"),0)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IFERROR(__xludf.DUMMYFUNCTION("IMPORTRANGE(""https://docs.google.com/spreadsheets/d/1QqKyyYR6Q21VydFLVH3TRQUabQu_ym0Zz7PgGX0-kHA/edit?usp=sharing"",""แผน!AX85"")"),0)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IFERROR(__xludf.DUMMYFUNCTION("IMPORTRANGE(""https://docs.google.com/spreadsheets/d/1QqKyyYR6Q21VydFLVH3TRQUabQu_ym0Zz7PgGX0-kHA/edit?usp=sharing"",""แผน!AY85"")"),0)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IFERROR(__xludf.DUMMYFUNCTION("IMPORTRANGE(""https://docs.google.com/spreadsheets/d/1QqKyyYR6Q21VydFLVH3TRQUabQu_ym0Zz7PgGX0-kHA/edit?usp=sharing"",""แผน!BE85"")"),0)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IFERROR(__xludf.DUMMYFUNCTION("IMPORTRANGE(""https://docs.google.com/spreadsheets/d/1QqKyyYR6Q21VydFLVH3TRQUabQu_ym0Zz7PgGX0-kHA/edit?usp=sharing"",""แผน!AZ85"")"),0)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IFERROR(__xludf.DUMMYFUNCTION("IMPORTRANGE(""https://docs.google.com/spreadsheets/d/1QqKyyYR6Q21VydFLVH3TRQUabQu_ym0Zz7PgGX0-kHA/edit?usp=sharing"",""แผน!BA85"")"),0)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IFERROR(__xludf.DUMMYFUNCTION("IMPORTRANGE(""https://docs.google.com/spreadsheets/d/1QqKyyYR6Q21VydFLVH3TRQUabQu_ym0Zz7PgGX0-kHA/edit?usp=sharing"",""แผน!BB85"")"),0)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IFERROR(__xludf.DUMMYFUNCTION("IMPORTRANGE(""https://docs.google.com/spreadsheets/d/1QqKyyYR6Q21VydFLVH3TRQUabQu_ym0Zz7PgGX0-kHA/edit?usp=sharing"",""แผน!BC85"")"),0)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IFERROR(__xludf.DUMMYFUNCTION("IMPORTRANGE(""https://docs.google.com/spreadsheets/d/1QqKyyYR6Q21VydFLVH3TRQUabQu_ym0Zz7PgGX0-kHA/edit?usp=sharing"",""แผน!BF85"")"),0)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18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23100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23100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23100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IFERROR(__xludf.DUMMYFUNCTION("IMPORTRANGE(""https://docs.google.com/spreadsheets/d/1MeEWN-I1oV_STSDYn1IFDPWt_1FKiwhDph83XaGc0o0/edit?usp=sharing"",""งบพรบ!DD85"")"),0)</f>
        <v>0</v>
      </c>
      <c r="N266" s="93">
        <f ca="1">IFERROR(__xludf.DUMMYFUNCTION("IMPORTRANGE(""https://docs.google.com/spreadsheets/d/1MeEWN-I1oV_STSDYn1IFDPWt_1FKiwhDph83XaGc0o0/edit?usp=sharing"",""งบพรบ!DF85"")"),0)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IFERROR(__xludf.DUMMYFUNCTION("IMPORTRANGE(""https://docs.google.com/spreadsheets/d/1QqKyyYR6Q21VydFLVH3TRQUabQu_ym0Zz7PgGX0-kHA/edit?usp=sharing"",""แผน!EA85"")"),18)</f>
        <v>18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IFERROR(__xludf.DUMMYFUNCTION("IMPORTRANGE(""https://docs.google.com/spreadsheets/d/1QqKyyYR6Q21VydFLVH3TRQUabQu_ym0Zz7PgGX0-kHA/edit?usp=sharing"",""แผน!EC85"")"),0)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IFERROR(__xludf.DUMMYFUNCTION("IMPORTRANGE(""https://docs.google.com/spreadsheets/d/1QqKyyYR6Q21VydFLVH3TRQUabQu_ym0Zz7PgGX0-kHA/edit?usp=sharing"",""แผน!EB85"")"),0)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IFERROR(__xludf.DUMMYFUNCTION("IMPORTRANGE(""https://docs.google.com/spreadsheets/d/1QqKyyYR6Q21VydFLVH3TRQUabQu_ym0Zz7PgGX0-kHA/edit?usp=sharing"",""แผน!EB85"")"),0)</f>
        <v>0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IFERROR(__xludf.DUMMYFUNCTION("IMPORTRANGE(""https://docs.google.com/spreadsheets/d/1QqKyyYR6Q21VydFLVH3TRQUabQu_ym0Zz7PgGX0-kHA/edit?usp=sharing"",""แผน!ED85"")"),0)</f>
        <v>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IFERROR(__xludf.DUMMYFUNCTION("IMPORTRANGE(""https://docs.google.com/spreadsheets/d/1QqKyyYR6Q21VydFLVH3TRQUabQu_ym0Zz7PgGX0-kHA/edit?usp=sharing"",""แผน!ED85"")"),0)</f>
        <v>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IFERROR(__xludf.DUMMYFUNCTION("IMPORTRANGE(""https://docs.google.com/spreadsheets/d/1QqKyyYR6Q21VydFLVH3TRQUabQu_ym0Zz7PgGX0-kHA/edit?usp=sharing"",""แผน!ED85"")"),0)</f>
        <v>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IFERROR(__xludf.DUMMYFUNCTION("IMPORTRANGE(""https://docs.google.com/spreadsheets/d/1QqKyyYR6Q21VydFLVH3TRQUabQu_ym0Zz7PgGX0-kHA/edit?usp=sharing"",""แผน!EE85"")"),0)</f>
        <v>0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IFERROR(__xludf.DUMMYFUNCTION("IMPORTRANGE(""https://docs.google.com/spreadsheets/d/1QqKyyYR6Q21VydFLVH3TRQUabQu_ym0Zz7PgGX0-kHA/edit?usp=sharing"",""แผน!EF85"")"),0)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IFERROR(__xludf.DUMMYFUNCTION("IMPORTRANGE(""https://docs.google.com/spreadsheets/d/1QqKyyYR6Q21VydFLVH3TRQUabQu_ym0Zz7PgGX0-kHA/edit?usp=sharing"",""แผน!EG85"")"),500)</f>
        <v>500</v>
      </c>
      <c r="J327" s="444">
        <f ca="1">J338+J341+J342+J343</f>
        <v>227</v>
      </c>
      <c r="K327" s="445">
        <f ca="1">IF(I327&gt;0,J327*100/I327,0)</f>
        <v>45.4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79500</v>
      </c>
      <c r="N328" s="155">
        <f t="shared" ca="1" si="149"/>
        <v>16900</v>
      </c>
      <c r="O328" s="155">
        <f t="shared" ref="O328:O336" ca="1" si="150">IF(L328&gt;0,N328*100/L328,0)</f>
        <v>10.628930817610064</v>
      </c>
      <c r="P328" s="155">
        <f t="shared" ref="P328:P336" ca="1" si="151">IF(M328&gt;0,N328*100/M328,0)</f>
        <v>21.257861635220127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159000</v>
      </c>
      <c r="M330" s="93">
        <f t="shared" ca="1" si="152"/>
        <v>79500</v>
      </c>
      <c r="N330" s="93">
        <f t="shared" ca="1" si="152"/>
        <v>16900</v>
      </c>
      <c r="O330" s="93">
        <f t="shared" ca="1" si="150"/>
        <v>10.628930817610064</v>
      </c>
      <c r="P330" s="93">
        <f t="shared" ca="1" si="151"/>
        <v>21.257861635220127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79500</v>
      </c>
      <c r="N331" s="497">
        <f t="shared" ca="1" si="153"/>
        <v>16900</v>
      </c>
      <c r="O331" s="497">
        <f t="shared" ca="1" si="150"/>
        <v>10.628930817610064</v>
      </c>
      <c r="P331" s="497">
        <f t="shared" ca="1" si="151"/>
        <v>21.257861635220127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IFERROR(__xludf.DUMMYFUNCTION("IMPORTRANGE(""https://docs.google.com/spreadsheets/d/1MeEWN-I1oV_STSDYn1IFDPWt_1FKiwhDph83XaGc0o0/edit?usp=sharing"",""งบพรบ!ER85"")"),79500)</f>
        <v>79500</v>
      </c>
      <c r="N333" s="93">
        <f ca="1">IFERROR(__xludf.DUMMYFUNCTION("IMPORTRANGE(""https://docs.google.com/spreadsheets/d/1MeEWN-I1oV_STSDYn1IFDPWt_1FKiwhDph83XaGc0o0/edit?usp=sharing"",""งบพรบ!ET85"")"),16900)</f>
        <v>16900</v>
      </c>
      <c r="O333" s="93">
        <f t="shared" ca="1" si="150"/>
        <v>10.628930817610064</v>
      </c>
      <c r="P333" s="93">
        <f t="shared" ca="1" si="151"/>
        <v>21.257861635220127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IFERROR(__xludf.DUMMYFUNCTION("IMPORTRANGE(""https://docs.google.com/spreadsheets/d/1MeEWN-I1oV_STSDYn1IFDPWt_1FKiwhDph83XaGc0o0/edit?usp=sharing"",""งบพรบ!ES85"")"),0)</f>
        <v>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IFERROR(__xludf.DUMMYFUNCTION("IMPORTRANGE(""https://docs.google.com/spreadsheets/d/1QqKyyYR6Q21VydFLVH3TRQUabQu_ym0Zz7PgGX0-kHA/edit?usp=sharing"",""แผน!EG85"")"),500)</f>
        <v>500</v>
      </c>
      <c r="J338" s="269">
        <f ca="1">IFERROR(__xludf.DUMMYFUNCTION("IMPORTRANGE(""https://docs.google.com/spreadsheets/d/1kVcqe37tkHyjCSG3S0O1AXqVkqjo8mSIZil3BcpIysc/edit?usp=sharing"",""ศูนย์!D85"")"),185)</f>
        <v>185</v>
      </c>
      <c r="K338" s="497">
        <f ca="1">IF(I338&gt;0,J338*100/I338,0)</f>
        <v>37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IFERROR(__xludf.DUMMYFUNCTION("IMPORTRANGE(""https://docs.google.com/spreadsheets/d/1QqKyyYR6Q21VydFLVH3TRQUabQu_ym0Zz7PgGX0-kHA/edit?usp=sharing"",""แผน!EH85"")"),3)</f>
        <v>3</v>
      </c>
      <c r="J340" s="269">
        <f ca="1">IFERROR(__xludf.DUMMYFUNCTION("IMPORTRANGE(""https://docs.google.com/spreadsheets/d/1kVcqe37tkHyjCSG3S0O1AXqVkqjo8mSIZil3BcpIysc/edit?usp=sharing"",""ศูนย์!E85"")"),1)</f>
        <v>1</v>
      </c>
      <c r="K340" s="497">
        <f ca="1">IF(I340&gt;0,J340*100/I340,0)</f>
        <v>33.333333333333336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IFERROR(__xludf.DUMMYFUNCTION("IMPORTRANGE(""https://docs.google.com/spreadsheets/d/1kVcqe37tkHyjCSG3S0O1AXqVkqjo8mSIZil3BcpIysc/edit?usp=sharing"",""ศูนย์!F85"")"),42)</f>
        <v>42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619700</v>
      </c>
      <c r="M345" s="155">
        <f t="shared" ca="1" si="155"/>
        <v>332860</v>
      </c>
      <c r="N345" s="155">
        <f t="shared" ca="1" si="155"/>
        <v>127918</v>
      </c>
      <c r="O345" s="155">
        <f t="shared" ref="O345:O353" ca="1" si="156">IF(L345&gt;0,N345*100/L345,0)</f>
        <v>20.641923511376472</v>
      </c>
      <c r="P345" s="155">
        <f t="shared" ref="P345:P353" ca="1" si="157">IF(M345&gt;0,N345*100/M345,0)</f>
        <v>38.429970558192636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619700</v>
      </c>
      <c r="M347" s="93">
        <f t="shared" ca="1" si="158"/>
        <v>332860</v>
      </c>
      <c r="N347" s="93">
        <f t="shared" ca="1" si="158"/>
        <v>127918</v>
      </c>
      <c r="O347" s="93">
        <f t="shared" ca="1" si="156"/>
        <v>20.641923511376472</v>
      </c>
      <c r="P347" s="93">
        <f t="shared" ca="1" si="157"/>
        <v>38.429970558192636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573700</v>
      </c>
      <c r="M348" s="497">
        <f t="shared" ca="1" si="159"/>
        <v>286860</v>
      </c>
      <c r="N348" s="497">
        <f t="shared" ca="1" si="159"/>
        <v>81918</v>
      </c>
      <c r="O348" s="497">
        <f t="shared" ca="1" si="156"/>
        <v>14.278891406658532</v>
      </c>
      <c r="P348" s="497">
        <f t="shared" ca="1" si="157"/>
        <v>28.556787282995188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IFERROR(__xludf.DUMMYFUNCTION("IMPORTRANGE(""https://docs.google.com/spreadsheets/d/1MeEWN-I1oV_STSDYn1IFDPWt_1FKiwhDph83XaGc0o0/edit?usp=sharing"",""งบพรบ!FB85"")"),286860)</f>
        <v>286860</v>
      </c>
      <c r="N350" s="93">
        <f ca="1">IFERROR(__xludf.DUMMYFUNCTION("IMPORTRANGE(""https://docs.google.com/spreadsheets/d/1MeEWN-I1oV_STSDYn1IFDPWt_1FKiwhDph83XaGc0o0/edit?usp=sharing"",""งบพรบ!FD85"")"),81918)</f>
        <v>81918</v>
      </c>
      <c r="O350" s="93">
        <f t="shared" ca="1" si="156"/>
        <v>14.278891406658532</v>
      </c>
      <c r="P350" s="93">
        <f t="shared" ca="1" si="157"/>
        <v>28.556787282995188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46000</v>
      </c>
      <c r="M351" s="497">
        <f t="shared" ca="1" si="160"/>
        <v>46000</v>
      </c>
      <c r="N351" s="497">
        <f t="shared" ca="1" si="160"/>
        <v>46000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IFERROR(__xludf.DUMMYFUNCTION("IMPORTRANGE(""https://docs.google.com/spreadsheets/d/1QqKyyYR6Q21VydFLVH3TRQUabQu_ym0Zz7PgGX0-kHA/edit?usp=sharing"",""แผน!EP85"")"),60)</f>
        <v>60</v>
      </c>
      <c r="J355" s="464">
        <f ca="1">J362</f>
        <v>1</v>
      </c>
      <c r="K355" s="465">
        <f ca="1">IF(I355&gt;0,J355*100/I355,0)</f>
        <v>1.6666666666666667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IFERROR(__xludf.DUMMYFUNCTION("IMPORTRANGE(""https://docs.google.com/spreadsheets/d/1XWAQStnk-4SwqDmLtmXYiTMKHgktTP8We1SCoS47DrQ/edit?usp=sharing"",""จัดที่ดิน!W85"")"),45)</f>
        <v>45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IFERROR(__xludf.DUMMYFUNCTION("IMPORTRANGE(""https://docs.google.com/spreadsheets/d/1QqKyyYR6Q21VydFLVH3TRQUabQu_ym0Zz7PgGX0-kHA/edit?usp=sharing"",""แผน!EO85"")"),450)</f>
        <v>450</v>
      </c>
      <c r="J359" s="269">
        <f ca="1">IFERROR(__xludf.DUMMYFUNCTION("IMPORTRANGE(""https://docs.google.com/spreadsheets/d/1XWAQStnk-4SwqDmLtmXYiTMKHgktTP8We1SCoS47DrQ/edit?usp=sharing"",""จัดที่ดิน!X85"")"),236.76)</f>
        <v>236.76</v>
      </c>
      <c r="K359" s="497">
        <f t="shared" ca="1" si="161"/>
        <v>52.613333333333337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IFERROR(__xludf.DUMMYFUNCTION("IMPORTRANGE(""https://docs.google.com/spreadsheets/d/1QqKyyYR6Q21VydFLVH3TRQUabQu_ym0Zz7PgGX0-kHA/edit?usp=sharing"",""แผน!EP85"")"),60)</f>
        <v>60</v>
      </c>
      <c r="J360" s="269">
        <f ca="1">IFERROR(__xludf.DUMMYFUNCTION("IMPORTRANGE(""https://docs.google.com/spreadsheets/d/1XWAQStnk-4SwqDmLtmXYiTMKHgktTP8We1SCoS47DrQ/edit?usp=sharing"",""จัดที่ดิน!Y85"")"),11)</f>
        <v>11</v>
      </c>
      <c r="K360" s="497">
        <f t="shared" ca="1" si="161"/>
        <v>18.333333333333332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IFERROR(__xludf.DUMMYFUNCTION("IMPORTRANGE(""https://docs.google.com/spreadsheets/d/1XWAQStnk-4SwqDmLtmXYiTMKHgktTP8We1SCoS47DrQ/edit?usp=sharing"",""จัดที่ดิน!Z85"")"),51.2699999999999)</f>
        <v>51.269999999999897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IFERROR(__xludf.DUMMYFUNCTION("IMPORTRANGE(""https://docs.google.com/spreadsheets/d/1QqKyyYR6Q21VydFLVH3TRQUabQu_ym0Zz7PgGX0-kHA/edit?usp=sharing"",""แผน!EP85"")"),60)</f>
        <v>60</v>
      </c>
      <c r="J362" s="269">
        <f ca="1">IFERROR(__xludf.DUMMYFUNCTION("IMPORTRANGE(""https://docs.google.com/spreadsheets/d/1XWAQStnk-4SwqDmLtmXYiTMKHgktTP8We1SCoS47DrQ/edit?usp=sharing"",""จัดที่ดิน!AA85"")"),1)</f>
        <v>1</v>
      </c>
      <c r="K362" s="497">
        <f t="shared" ca="1" si="161"/>
        <v>1.6666666666666667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IFERROR(__xludf.DUMMYFUNCTION("IMPORTRANGE(""https://docs.google.com/spreadsheets/d/1XWAQStnk-4SwqDmLtmXYiTMKHgktTP8We1SCoS47DrQ/edit?usp=sharing"",""จัดที่ดิน!AB85"")"),2.16)</f>
        <v>2.16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110</v>
      </c>
      <c r="J364" s="478">
        <f t="shared" ca="1" si="162"/>
        <v>7</v>
      </c>
      <c r="K364" s="479">
        <f t="shared" ca="1" si="161"/>
        <v>6.3636363636363633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IFERROR(__xludf.DUMMYFUNCTION("IMPORTRANGE(""https://docs.google.com/spreadsheets/d/1QqKyyYR6Q21VydFLVH3TRQUabQu_ym0Zz7PgGX0-kHA/edit?usp=sharing"",""แผน!EJ85"")"),30)</f>
        <v>30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IFERROR(__xludf.DUMMYFUNCTION("IMPORTRANGE(""https://docs.google.com/spreadsheets/d/1XWAQStnk-4SwqDmLtmXYiTMKHgktTP8We1SCoS47DrQ/edit?usp=sharing"",""จัดที่ดิน!E85"")"),24)</f>
        <v>24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IFERROR(__xludf.DUMMYFUNCTION("IMPORTRANGE(""https://docs.google.com/spreadsheets/d/1QqKyyYR6Q21VydFLVH3TRQUabQu_ym0Zz7PgGX0-kHA/edit?usp=sharing"",""แผน!EI85"")"),300)</f>
        <v>300</v>
      </c>
      <c r="J369" s="269">
        <f ca="1">IFERROR(__xludf.DUMMYFUNCTION("IMPORTRANGE(""https://docs.google.com/spreadsheets/d/1XWAQStnk-4SwqDmLtmXYiTMKHgktTP8We1SCoS47DrQ/edit?usp=sharing"",""จัดที่ดิน!F85"")"),159.45)</f>
        <v>159.44999999999999</v>
      </c>
      <c r="K369" s="497">
        <f t="shared" ca="1" si="163"/>
        <v>53.149999999999991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IFERROR(__xludf.DUMMYFUNCTION("IMPORTRANGE(""https://docs.google.com/spreadsheets/d/1QqKyyYR6Q21VydFLVH3TRQUabQu_ym0Zz7PgGX0-kHA/edit?usp=sharing"",""แผน!EJ85"")"),30)</f>
        <v>30</v>
      </c>
      <c r="J370" s="269">
        <f ca="1">IFERROR(__xludf.DUMMYFUNCTION("IMPORTRANGE(""https://docs.google.com/spreadsheets/d/1XWAQStnk-4SwqDmLtmXYiTMKHgktTP8We1SCoS47DrQ/edit?usp=sharing"",""จัดที่ดิน!G85"")"),1)</f>
        <v>1</v>
      </c>
      <c r="K370" s="497">
        <f t="shared" ca="1" si="163"/>
        <v>3.3333333333333335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IFERROR(__xludf.DUMMYFUNCTION("IMPORTRANGE(""https://docs.google.com/spreadsheets/d/1XWAQStnk-4SwqDmLtmXYiTMKHgktTP8We1SCoS47DrQ/edit?usp=sharing"",""จัดที่ดิน!H85"")"),18.65)</f>
        <v>18.649999999999999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IFERROR(__xludf.DUMMYFUNCTION("IMPORTRANGE(""https://docs.google.com/spreadsheets/d/1QqKyyYR6Q21VydFLVH3TRQUabQu_ym0Zz7PgGX0-kHA/edit?usp=sharing"",""แผน!EJ85"")"),30)</f>
        <v>30</v>
      </c>
      <c r="J372" s="269">
        <f ca="1">IFERROR(__xludf.DUMMYFUNCTION("IMPORTRANGE(""https://docs.google.com/spreadsheets/d/1XWAQStnk-4SwqDmLtmXYiTMKHgktTP8We1SCoS47DrQ/edit?usp=sharing"",""จัดที่ดิน!I85"")"),0)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IFERROR(__xludf.DUMMYFUNCTION("IMPORTRANGE(""https://docs.google.com/spreadsheets/d/1QqKyyYR6Q21VydFLVH3TRQUabQu_ym0Zz7PgGX0-kHA/edit?usp=sharing"",""แผน!EU85"")"),80)</f>
        <v>80</v>
      </c>
      <c r="J374" s="490">
        <f ca="1">J381</f>
        <v>7</v>
      </c>
      <c r="K374" s="491">
        <f t="shared" ca="1" si="163"/>
        <v>8.75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IFERROR(__xludf.DUMMYFUNCTION("IMPORTRANGE(""https://docs.google.com/spreadsheets/d/1XWAQStnk-4SwqDmLtmXYiTMKHgktTP8We1SCoS47DrQ/edit?usp=sharing"",""จัดที่ดิน!AH85"")"),22)</f>
        <v>22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IFERROR(__xludf.DUMMYFUNCTION("IMPORTRANGE(""https://docs.google.com/spreadsheets/d/1QqKyyYR6Q21VydFLVH3TRQUabQu_ym0Zz7PgGX0-kHA/edit?usp=sharing"",""แผน!ET85"")"),150)</f>
        <v>150</v>
      </c>
      <c r="J378" s="269">
        <f ca="1">IFERROR(__xludf.DUMMYFUNCTION("IMPORTRANGE(""https://docs.google.com/spreadsheets/d/1XWAQStnk-4SwqDmLtmXYiTMKHgktTP8We1SCoS47DrQ/edit?usp=sharing"",""จัดที่ดิน!AI85"")"),78.48)</f>
        <v>78.48</v>
      </c>
      <c r="K378" s="497">
        <f t="shared" ca="1" si="164"/>
        <v>52.32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IFERROR(__xludf.DUMMYFUNCTION("IMPORTRANGE(""https://docs.google.com/spreadsheets/d/1QqKyyYR6Q21VydFLVH3TRQUabQu_ym0Zz7PgGX0-kHA/edit?usp=sharing"",""แผน!EU85"")"),80)</f>
        <v>80</v>
      </c>
      <c r="J379" s="269">
        <f ca="1">IFERROR(__xludf.DUMMYFUNCTION("IMPORTRANGE(""https://docs.google.com/spreadsheets/d/1XWAQStnk-4SwqDmLtmXYiTMKHgktTP8We1SCoS47DrQ/edit?usp=sharing"",""จัดที่ดิน!AJ85"")"),20)</f>
        <v>20</v>
      </c>
      <c r="K379" s="497">
        <f t="shared" ca="1" si="164"/>
        <v>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IFERROR(__xludf.DUMMYFUNCTION("IMPORTRANGE(""https://docs.google.com/spreadsheets/d/1XWAQStnk-4SwqDmLtmXYiTMKHgktTP8We1SCoS47DrQ/edit?usp=sharing"",""จัดที่ดิน!AK85"")"),254.97)</f>
        <v>254.97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IFERROR(__xludf.DUMMYFUNCTION("IMPORTRANGE(""https://docs.google.com/spreadsheets/d/1QqKyyYR6Q21VydFLVH3TRQUabQu_ym0Zz7PgGX0-kHA/edit?usp=sharing"",""แผน!EU85"")"),80)</f>
        <v>80</v>
      </c>
      <c r="J381" s="269">
        <f ca="1">IFERROR(__xludf.DUMMYFUNCTION("IMPORTRANGE(""https://docs.google.com/spreadsheets/d/1XWAQStnk-4SwqDmLtmXYiTMKHgktTP8We1SCoS47DrQ/edit?usp=sharing"",""จัดที่ดิน!AL85"")"),7)</f>
        <v>7</v>
      </c>
      <c r="K381" s="497">
        <f t="shared" ca="1" si="164"/>
        <v>8.75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IFERROR(__xludf.DUMMYFUNCTION("IMPORTRANGE(""https://docs.google.com/spreadsheets/d/1XWAQStnk-4SwqDmLtmXYiTMKHgktTP8We1SCoS47DrQ/edit?usp=sharing"",""จัดที่ดิน!AM85"")"),105.91)</f>
        <v>105.91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IFERROR(__xludf.DUMMYFUNCTION("IMPORTRANGE(""https://docs.google.com/spreadsheets/d/1QqKyyYR6Q21VydFLVH3TRQUabQu_ym0Zz7PgGX0-kHA/edit?usp=sharing"",""แผน!EW85"")"),10)</f>
        <v>10</v>
      </c>
      <c r="J385" s="500">
        <f ca="1">IFERROR(__xludf.DUMMYFUNCTION("IMPORTRANGE(""https://docs.google.com/spreadsheets/d/1XWAQStnk-4SwqDmLtmXYiTMKHgktTP8We1SCoS47DrQ/edit?usp=sharing"",""จัดที่ดิน!AP85"")"),1)</f>
        <v>1</v>
      </c>
      <c r="K385" s="501">
        <f ca="1">IF(I385&gt;0,J385*100/I385,0)</f>
        <v>10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1536518</v>
      </c>
      <c r="M414" s="548">
        <f t="shared" si="181"/>
        <v>0</v>
      </c>
      <c r="N414" s="548">
        <f t="shared" si="181"/>
        <v>0</v>
      </c>
      <c r="O414" s="548">
        <f ca="1">IF(L414&gt;0,N414*100/L414,0)</f>
        <v>0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si="188"/>
        <v>0</v>
      </c>
      <c r="N422" s="497">
        <f t="shared" si="188"/>
        <v>0</v>
      </c>
      <c r="O422" s="497">
        <f t="shared" ca="1" si="185"/>
        <v>0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IFERROR(__xludf.DUMMYFUNCTION("IMPORTRANGE(""https://docs.google.com/spreadsheets/d/1QqKyyYR6Q21VydFLVH3TRQUabQu_ym0Zz7PgGX0-kHA/edit?usp=sharing"",""แผน!FC85"")"),15)</f>
        <v>15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IFERROR(__xludf.DUMMYFUNCTION("IMPORTRANGE(""https://docs.google.com/spreadsheets/d/1QqKyyYR6Q21VydFLVH3TRQUabQu_ym0Zz7PgGX0-kHA/edit?usp=sharing"",""แผน!FD85"")"),0)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IFERROR(__xludf.DUMMYFUNCTION("IMPORTRANGE(""https://docs.google.com/spreadsheets/d/1QqKyyYR6Q21VydFLVH3TRQUabQu_ym0Zz7PgGX0-kHA/edit?usp=sharing"",""แผน!FE85"")"),0)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IFERROR(__xludf.DUMMYFUNCTION("IMPORTRANGE(""https://docs.google.com/spreadsheets/d/1QqKyyYR6Q21VydFLVH3TRQUabQu_ym0Zz7PgGX0-kHA/edit?usp=sharing"",""แผน!FF85"")"),15)</f>
        <v>15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IFERROR(__xludf.DUMMYFUNCTION("IMPORTRANGE(""https://docs.google.com/spreadsheets/d/1QqKyyYR6Q21VydFLVH3TRQUabQu_ym0Zz7PgGX0-kHA/edit?usp=sharing"",""แผน!FG85"")"),1)</f>
        <v>1</v>
      </c>
      <c r="J440" s="214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IFERROR(__xludf.DUMMYFUNCTION("IMPORTRANGE(""https://docs.google.com/spreadsheets/d/1QqKyyYR6Q21VydFLVH3TRQUabQu_ym0Zz7PgGX0-kHA/edit?usp=sharing"",""แผน!FH85"")"),0)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20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78360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78360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78360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IFERROR(__xludf.DUMMYFUNCTION("IMPORTRANGE(""https://docs.google.com/spreadsheets/d/1QqKyyYR6Q21VydFLVH3TRQUabQu_ym0Zz7PgGX0-kHA/edit?usp=sharing"",""แผน!FN85"")"),20)</f>
        <v>20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IFERROR(__xludf.DUMMYFUNCTION("IMPORTRANGE(""https://docs.google.com/spreadsheets/d/1QqKyyYR6Q21VydFLVH3TRQUabQu_ym0Zz7PgGX0-kHA/edit?usp=sharing"",""แผน!FO85"")"),20)</f>
        <v>20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IFERROR(__xludf.DUMMYFUNCTION("IMPORTRANGE(""https://docs.google.com/spreadsheets/d/1QqKyyYR6Q21VydFLVH3TRQUabQu_ym0Zz7PgGX0-kHA/edit?usp=sharing"",""แผน!FO85"")"),20)</f>
        <v>20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IFERROR(__xludf.DUMMYFUNCTION("IMPORTRANGE(""https://docs.google.com/spreadsheets/d/1QqKyyYR6Q21VydFLVH3TRQUabQu_ym0Zz7PgGX0-kHA/edit?usp=sharing"",""แผน!FN85"")"),20)</f>
        <v>20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IFERROR(__xludf.DUMMYFUNCTION("IMPORTRANGE(""https://docs.google.com/spreadsheets/d/1QqKyyYR6Q21VydFLVH3TRQUabQu_ym0Zz7PgGX0-kHA/edit?usp=sharing"",""แผน!FX85"")"),131)</f>
        <v>131</v>
      </c>
      <c r="J465" s="584">
        <f>J485+J489+J492</f>
        <v>117</v>
      </c>
      <c r="K465" s="585">
        <f t="shared" ref="K465:K466" ca="1" si="205">IF(I465&gt;0,J465*100/I465,0)</f>
        <v>89.312977099236647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IFERROR(__xludf.DUMMYFUNCTION("IMPORTRANGE(""https://docs.google.com/spreadsheets/d/1QqKyyYR6Q21VydFLVH3TRQUabQu_ym0Zz7PgGX0-kHA/edit?usp=sharing"",""แผน!FW85"")"),1300)</f>
        <v>1300</v>
      </c>
      <c r="J466" s="564">
        <f>J483+J487</f>
        <v>1455</v>
      </c>
      <c r="K466" s="565">
        <f t="shared" ca="1" si="205"/>
        <v>111.92307692307692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1161548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1161548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1161548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IFERROR(__xludf.DUMMYFUNCTION("IMPORTRANGE(""https://docs.google.com/spreadsheets/d/1QqKyyYR6Q21VydFLVH3TRQUabQu_ym0Zz7PgGX0-kHA/edit?usp=sharing"",""แผน!FS85"")"),1161548)</f>
        <v>1161548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IFERROR(__xludf.DUMMYFUNCTION("IMPORTRANGE(""https://docs.google.com/spreadsheets/d/1QqKyyYR6Q21VydFLVH3TRQUabQu_ym0Zz7PgGX0-kHA/edit?usp=sharing"",""แผน!FY85"")"),1170)</f>
        <v>1170</v>
      </c>
      <c r="J483" s="214">
        <v>1455</v>
      </c>
      <c r="K483" s="497">
        <f ca="1">IF(I483&gt;0,J483*100/I483,0)</f>
        <v>124.35897435897436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IFERROR(__xludf.DUMMYFUNCTION("IMPORTRANGE(""https://docs.google.com/spreadsheets/d/1QqKyyYR6Q21VydFLVH3TRQUabQu_ym0Zz7PgGX0-kHA/edit?usp=sharing"",""แผน!FZ85"")"),117)</f>
        <v>117</v>
      </c>
      <c r="J485" s="214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IFERROR(__xludf.DUMMYFUNCTION("IMPORTRANGE(""https://docs.google.com/spreadsheets/d/1QqKyyYR6Q21VydFLVH3TRQUabQu_ym0Zz7PgGX0-kHA/edit?usp=sharing"",""แผน!GA85"")"),130)</f>
        <v>130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IFERROR(__xludf.DUMMYFUNCTION("IMPORTRANGE(""https://docs.google.com/spreadsheets/d/1QqKyyYR6Q21VydFLVH3TRQUabQu_ym0Zz7PgGX0-kHA/edit?usp=sharing"",""แผน!GB85"")"),13)</f>
        <v>13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IFERROR(__xludf.DUMMYFUNCTION("IMPORTRANGE(""https://docs.google.com/spreadsheets/d/1QqKyyYR6Q21VydFLVH3TRQUabQu_ym0Zz7PgGX0-kHA/edit?usp=sharing"",""แผน!GC85"")"),1)</f>
        <v>1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IFERROR(__xludf.DUMMYFUNCTION("IMPORTRANGE(""https://docs.google.com/spreadsheets/d/1QqKyyYR6Q21VydFLVH3TRQUabQu_ym0Zz7PgGX0-kHA/edit?usp=sharing"",""แผน!FY85"")"),1170)</f>
        <v>1170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IFERROR(__xludf.DUMMYFUNCTION("IMPORTRANGE(""https://docs.google.com/spreadsheets/d/1QqKyyYR6Q21VydFLVH3TRQUabQu_ym0Zz7PgGX0-kHA/edit?usp=sharing"",""แผน!GA85"")"),130)</f>
        <v>130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IFERROR(__xludf.DUMMYFUNCTION("IMPORTRANGE(""https://docs.google.com/spreadsheets/d/1QqKyyYR6Q21VydFLVH3TRQUabQu_ym0Zz7PgGX0-kHA/edit?usp=sharing"",""แผน!GU85"")"),0)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IFERROR(__xludf.DUMMYFUNCTION("IMPORTRANGE(""https://docs.google.com/spreadsheets/d/1QqKyyYR6Q21VydFLVH3TRQUabQu_ym0Zz7PgGX0-kHA/edit?usp=sharing"",""แผน!GV85"")"),0)</f>
        <v>0</v>
      </c>
      <c r="J538" s="214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IFERROR(__xludf.DUMMYFUNCTION("IMPORTRANGE(""https://docs.google.com/spreadsheets/d/1QqKyyYR6Q21VydFLVH3TRQUabQu_ym0Zz7PgGX0-kHA/edit?usp=sharing"",""แผน!GW85"")"),0)</f>
        <v>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IFERROR(__xludf.DUMMYFUNCTION("IMPORTRANGE(""https://docs.google.com/spreadsheets/d/1QqKyyYR6Q21VydFLVH3TRQUabQu_ym0Zz7PgGX0-kHA/edit?usp=sharing"",""แผน!GX85"")"),0)</f>
        <v>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IFERROR(__xludf.DUMMYFUNCTION("IMPORTRANGE(""https://docs.google.com/spreadsheets/d/1QqKyyYR6Q21VydFLVH3TRQUabQu_ym0Zz7PgGX0-kHA/edit?usp=sharing"",""แผน!GY85"")"),0)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IFERROR(__xludf.DUMMYFUNCTION("IMPORTRANGE(""https://docs.google.com/spreadsheets/d/1QqKyyYR6Q21VydFLVH3TRQUabQu_ym0Zz7PgGX0-kHA/edit?usp=sharing"",""แผน!GZ85"")"),0)</f>
        <v>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66000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66000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66000</v>
      </c>
      <c r="M547" s="497">
        <f t="shared" si="241"/>
        <v>0</v>
      </c>
      <c r="N547" s="497">
        <f t="shared" si="241"/>
        <v>0</v>
      </c>
      <c r="O547" s="497">
        <f t="shared" ca="1" si="237"/>
        <v>0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IFERROR(__xludf.DUMMYFUNCTION("IMPORTRANGE(""https://docs.google.com/spreadsheets/d/1QqKyyYR6Q21VydFLVH3TRQUabQu_ym0Zz7PgGX0-kHA/edit?usp=sharing"",""แผน!HB85"")"),66000)</f>
        <v>66000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 hidden="1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 hidden="1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0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 hidden="1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 hidden="1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 hidden="1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 hidden="1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 hidden="1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 hidden="1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 hidden="1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 hidden="1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 hidden="1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 hidden="1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 hidden="1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 hidden="1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 hidden="1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 hidden="1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 hidden="1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 hidden="1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 hidden="1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 hidden="1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 hidden="1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 hidden="1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 hidden="1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 hidden="1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 hidden="1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 hidden="1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 hidden="1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 hidden="1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 hidden="1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 hidden="1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 hidden="1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 hidden="1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 hidden="1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 hidden="1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 hidden="1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IFERROR(__xludf.DUMMYFUNCTION("IMPORTRANGE(""https://docs.google.com/spreadsheets/d/1QqKyyYR6Q21VydFLVH3TRQUabQu_ym0Zz7PgGX0-kHA/edit?usp=sharing"",""แผน!HJ85"")"),0)</f>
        <v>0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 hidden="1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IFERROR(__xludf.DUMMYFUNCTION("IMPORTRANGE(""https://docs.google.com/spreadsheets/d/1QqKyyYR6Q21VydFLVH3TRQUabQu_ym0Zz7PgGX0-kHA/edit?usp=sharing"",""แผน!HI85"")"),0)</f>
        <v>0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 hidden="1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 hidden="1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 hidden="1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 hidden="1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 hidden="1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 hidden="1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 hidden="1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 hidden="1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 hidden="1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 hidden="1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 hidden="1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 hidden="1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 hidden="1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 hidden="1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 hidden="1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 hidden="1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IFERROR(__xludf.DUMMYFUNCTION("IMPORTRANGE(""https://docs.google.com/spreadsheets/d/1QqKyyYR6Q21VydFLVH3TRQUabQu_ym0Zz7PgGX0-kHA/edit?usp=sharing"",""แผน!HL85"")"),0)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IFERROR(__xludf.DUMMYFUNCTION("IMPORTRANGE(""https://docs.google.com/spreadsheets/d/1QqKyyYR6Q21VydFLVH3TRQUabQu_ym0Zz7PgGX0-kHA/edit?usp=sharing"",""แผน!HK85"")"),0)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7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164050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164050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164050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IFERROR(__xludf.DUMMYFUNCTION("IMPORTRANGE(""https://docs.google.com/spreadsheets/d/1QqKyyYR6Q21VydFLVH3TRQUabQu_ym0Zz7PgGX0-kHA/edit?usp=sharing"",""แผน!HR85"")"),0)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IFERROR(__xludf.DUMMYFUNCTION("IMPORTRANGE(""https://docs.google.com/spreadsheets/d/1QqKyyYR6Q21VydFLVH3TRQUabQu_ym0Zz7PgGX0-kHA/edit?usp=sharing"",""แผน!HR85"")"),0)</f>
        <v>0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IFERROR(__xludf.DUMMYFUNCTION("IMPORTRANGE(""https://docs.google.com/spreadsheets/d/1QqKyyYR6Q21VydFLVH3TRQUabQu_ym0Zz7PgGX0-kHA/edit?usp=sharing"",""แผน!HS85"")"),7)</f>
        <v>7</v>
      </c>
      <c r="J647" s="269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IFERROR(__xludf.DUMMYFUNCTION("IMPORTRANGE(""https://docs.google.com/spreadsheets/d/1QqKyyYR6Q21VydFLVH3TRQUabQu_ym0Zz7PgGX0-kHA/edit?usp=sharing"",""แผน!HS85"")"),7)</f>
        <v>7</v>
      </c>
      <c r="J649" s="269">
        <f ca="1">IFERROR(__xludf.DUMMYFUNCTION("IMPORTRANGE(""https://docs.google.com/spreadsheets/d/1XWAQStnk-4SwqDmLtmXYiTMKHgktTP8We1SCoS47DrQ/edit?usp=sharing"",""จัดที่ดิน!AW85"")"),0)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IFERROR(__xludf.DUMMYFUNCTION("IMPORTRANGE(""https://docs.google.com/spreadsheets/d/1QqKyyYR6Q21VydFLVH3TRQUabQu_ym0Zz7PgGX0-kHA/edit?usp=sharing"",""แผน!HS85"")"),7)</f>
        <v>7</v>
      </c>
      <c r="J651" s="269">
        <f ca="1">IFERROR(__xludf.DUMMYFUNCTION("IMPORTRANGE(""https://docs.google.com/spreadsheets/d/1XWAQStnk-4SwqDmLtmXYiTMKHgktTP8We1SCoS47DrQ/edit?usp=sharing"",""จัดที่ดิน!AY85"")"),0)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IFERROR(__xludf.DUMMYFUNCTION("IMPORTRANGE(""https://docs.google.com/spreadsheets/d/1XWAQStnk-4SwqDmLtmXYiTMKHgktTP8We1SCoS47DrQ/edit?usp=sharing"",""จัดที่ดิน!AZ85"")"),0)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IFERROR(__xludf.DUMMYFUNCTION("IMPORTRANGE(""https://docs.google.com/spreadsheets/d/1QqKyyYR6Q21VydFLVH3TRQUabQu_ym0Zz7PgGX0-kHA/edit?usp=sharing"",""แผน!IA85"")"),0)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IFERROR(__xludf.DUMMYFUNCTION("IMPORTRANGE(""https://docs.google.com/spreadsheets/d/1QqKyyYR6Q21VydFLVH3TRQUabQu_ym0Zz7PgGX0-kHA/edit?usp=sharing"",""แผน!HZ85"")"),0)</f>
        <v>0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IFERROR(__xludf.DUMMYFUNCTION("IMPORTRANGE(""https://docs.google.com/spreadsheets/d/1QqKyyYR6Q21VydFLVH3TRQUabQu_ym0Zz7PgGX0-kHA/edit?usp=sharing"",""แผน!HZ85"")"),0)</f>
        <v>0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IFERROR(__xludf.DUMMYFUNCTION("IMPORTRANGE(""https://docs.google.com/spreadsheets/d/1QqKyyYR6Q21VydFLVH3TRQUabQu_ym0Zz7PgGX0-kHA/edit?usp=sharing"",""แผน!IB85"")"),0)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IFERROR(__xludf.DUMMYFUNCTION("IMPORTRANGE(""https://docs.google.com/spreadsheets/d/1QqKyyYR6Q21VydFLVH3TRQUabQu_ym0Zz7PgGX0-kHA/edit?usp=sharing"",""แผน!IC85"")"),0)</f>
        <v>0</v>
      </c>
      <c r="J699" s="269">
        <f ca="1">IFERROR(__xludf.DUMMYFUNCTION("IMPORTRANGE(""https://docs.google.com/spreadsheets/d/1XWAQStnk-4SwqDmLtmXYiTMKHgktTP8We1SCoS47DrQ/edit?usp=sharing"",""จัดที่ดิน!BB85"")"),0)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IFERROR(__xludf.DUMMYFUNCTION("IMPORTRANGE(""https://docs.google.com/spreadsheets/d/1QqKyyYR6Q21VydFLVH3TRQUabQu_ym0Zz7PgGX0-kHA/edit?usp=sharing"",""แผน!ID85"")"),0)</f>
        <v>0</v>
      </c>
      <c r="J700" s="269">
        <f ca="1">IFERROR(__xludf.DUMMYFUNCTION("IMPORTRANGE(""https://docs.google.com/spreadsheets/d/1XWAQStnk-4SwqDmLtmXYiTMKHgktTP8We1SCoS47DrQ/edit?usp=sharing"",""จัดที่ดิน!BD85"")"),0)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IFERROR(__xludf.DUMMYFUNCTION("IMPORTRANGE(""https://docs.google.com/spreadsheets/d/1QqKyyYR6Q21VydFLVH3TRQUabQu_ym0Zz7PgGX0-kHA/edit?usp=sharing"",""แผน!IE85"")"),0)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IFERROR(__xludf.DUMMYFUNCTION("IMPORTRANGE(""https://docs.google.com/spreadsheets/d/1QqKyyYR6Q21VydFLVH3TRQUabQu_ym0Zz7PgGX0-kHA/edit?usp=sharing"",""แผน!IF85"")"),0)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IFERROR(__xludf.DUMMYFUNCTION("IMPORTRANGE(""https://docs.google.com/spreadsheets/d/1QqKyyYR6Q21VydFLVH3TRQUabQu_ym0Zz7PgGX0-kHA/edit?usp=sharing"",""แผน!IG85"")"),0)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IFERROR(__xludf.DUMMYFUNCTION("IMPORTRANGE(""https://docs.google.com/spreadsheets/d/1QqKyyYR6Q21VydFLVH3TRQUabQu_ym0Zz7PgGX0-kHA/edit?usp=sharing"",""แผน!IH85"")"),0)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IFERROR(__xludf.DUMMYFUNCTION("IMPORTRANGE(""https://docs.google.com/spreadsheets/d/1XWAQStnk-4SwqDmLtmXYiTMKHgktTP8We1SCoS47DrQ/edit?usp=sharing"",""จัดที่ดิน!BF85"")"),0)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IFERROR(__xludf.DUMMYFUNCTION("IMPORTRANGE(""https://docs.google.com/spreadsheets/d/1XWAQStnk-4SwqDmLtmXYiTMKHgktTP8We1SCoS47DrQ/edit?usp=sharing"",""จัดที่ดิน!BG85"")"),0)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IFERROR(__xludf.DUMMYFUNCTION("IMPORTRANGE(""https://docs.google.com/spreadsheets/d/1QqKyyYR6Q21VydFLVH3TRQUabQu_ym0Zz7PgGX0-kHA/edit?usp=sharing"",""แผน!II85"")"),0)</f>
        <v>0</v>
      </c>
      <c r="J720" s="269">
        <f ca="1">IFERROR(__xludf.DUMMYFUNCTION("IMPORTRANGE(""https://docs.google.com/spreadsheets/d/1XWAQStnk-4SwqDmLtmXYiTMKHgktTP8We1SCoS47DrQ/edit?usp=sharing"",""จัดที่ดิน!BH85"")"),0)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IFERROR(__xludf.DUMMYFUNCTION("IMPORTRANGE(""https://docs.google.com/spreadsheets/d/1QqKyyYR6Q21VydFLVH3TRQUabQu_ym0Zz7PgGX0-kHA/edit?usp=sharing"",""แผน!IJ85"")"),0)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IFERROR(__xludf.DUMMYFUNCTION("IMPORTRANGE(""https://docs.google.com/spreadsheets/d/1QqKyyYR6Q21VydFLVH3TRQUabQu_ym0Zz7PgGX0-kHA/edit?usp=sharing"",""แผน!IK85"")"),0)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IFERROR(__xludf.DUMMYFUNCTION("IMPORTRANGE(""https://docs.google.com/spreadsheets/d/1QqKyyYR6Q21VydFLVH3TRQUabQu_ym0Zz7PgGX0-kHA/edit?usp=sharing"",""แผน!IL85"")"),0)</f>
        <v>0</v>
      </c>
      <c r="J723" s="269">
        <f ca="1">IFERROR(__xludf.DUMMYFUNCTION("IMPORTRANGE(""https://docs.google.com/spreadsheets/d/1XWAQStnk-4SwqDmLtmXYiTMKHgktTP8We1SCoS47DrQ/edit?usp=sharing"",""จัดที่ดิน!BM85"")"),0)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IFERROR(__xludf.DUMMYFUNCTION("IMPORTRANGE(""https://docs.google.com/spreadsheets/d/1XWAQStnk-4SwqDmLtmXYiTMKHgktTP8We1SCoS47DrQ/edit?usp=sharing"",""จัดที่ดิน!BN85"")"),0)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IFERROR(__xludf.DUMMYFUNCTION("IMPORTRANGE(""https://docs.google.com/spreadsheets/d/1QqKyyYR6Q21VydFLVH3TRQUabQu_ym0Zz7PgGX0-kHA/edit?usp=sharing"",""แผน!IM85"")"),0)</f>
        <v>0</v>
      </c>
      <c r="J725" s="269">
        <f ca="1">IFERROR(__xludf.DUMMYFUNCTION("IMPORTRANGE(""https://docs.google.com/spreadsheets/d/1XWAQStnk-4SwqDmLtmXYiTMKHgktTP8We1SCoS47DrQ/edit?usp=sharing"",""จัดที่ดิน!BO85"")"),0)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IFERROR(__xludf.DUMMYFUNCTION("IMPORTRANGE(""https://docs.google.com/spreadsheets/d/1QqKyyYR6Q21VydFLVH3TRQUabQu_ym0Zz7PgGX0-kHA/edit?usp=sharing"",""แผน!IN85"")"),0)</f>
        <v>0</v>
      </c>
      <c r="J726" s="269">
        <f ca="1">IFERROR(__xludf.DUMMYFUNCTION("IMPORTRANGE(""https://docs.google.com/spreadsheets/d/1XWAQStnk-4SwqDmLtmXYiTMKHgktTP8We1SCoS47DrQ/edit?usp=sharing"",""จัดที่ดิน!BR85"")"),0)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IFERROR(__xludf.DUMMYFUNCTION("IMPORTRANGE(""https://docs.google.com/spreadsheets/d/1XWAQStnk-4SwqDmLtmXYiTMKHgktTP8We1SCoS47DrQ/edit?usp=sharing"",""จัดที่ดิน!BS85"")"),0)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IFERROR(__xludf.DUMMYFUNCTION("IMPORTRANGE(""https://docs.google.com/spreadsheets/d/1QqKyyYR6Q21VydFLVH3TRQUabQu_ym0Zz7PgGX0-kHA/edit?usp=sharing"",""แผน!IO85"")"),0)</f>
        <v>0</v>
      </c>
      <c r="J728" s="269">
        <f ca="1">IFERROR(__xludf.DUMMYFUNCTION("IMPORTRANGE(""https://docs.google.com/spreadsheets/d/1XWAQStnk-4SwqDmLtmXYiTMKHgktTP8We1SCoS47DrQ/edit?usp=sharing"",""จัดที่ดิน!BT85"")"),0)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IFERROR(__xludf.DUMMYFUNCTION("IMPORTRANGE(""https://docs.google.com/spreadsheets/d/1QqKyyYR6Q21VydFLVH3TRQUabQu_ym0Zz7PgGX0-kHA/edit?usp=sharing"",""แผน!IP85"")"),0)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IFERROR(__xludf.DUMMYFUNCTION("IMPORTRANGE(""https://docs.google.com/spreadsheets/d/1MaWodYyGHDf7siQLGxnXhG4mBNTNIuy296niS2xXulU/edit?usp=sharing"",""RTK!I85"")"),0)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341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69">
        <f ca="1">IFERROR(__xludf.DUMMYFUNCTION("IMPORTRANGE(""https://docs.google.com/spreadsheets/d/19vJNZY_5yjcGF2XGBMNZRCAIB0Kwfpjp8YEOfu-bneM/edit?usp=sharing"",""งานกองทุน!F85"")"),20000)</f>
        <v>20000</v>
      </c>
      <c r="K821" s="497">
        <f t="shared" ref="K821:K828" ca="1" si="335">IF(I821&gt;0,J821*100/I821,0)</f>
        <v>1.64154164069953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IFERROR(__xludf.DUMMYFUNCTION("IMPORTRANGE(""https://docs.google.com/spreadsheets/d/19vJNZY_5yjcGF2XGBMNZRCAIB0Kwfpjp8YEOfu-bneM/edit?usp=sharing"",""งานกองทุน!C85"")"),122)</f>
        <v>122</v>
      </c>
      <c r="J822" s="269">
        <f ca="1">IFERROR(__xludf.DUMMYFUNCTION("IMPORTRANGE(""https://docs.google.com/spreadsheets/d/19vJNZY_5yjcGF2XGBMNZRCAIB0Kwfpjp8YEOfu-bneM/edit?usp=sharing"",""งานกองทุน!E85"")"),1)</f>
        <v>1</v>
      </c>
      <c r="K822" s="497">
        <f t="shared" ca="1" si="335"/>
        <v>0.81967213114754101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69">
        <f ca="1">IFERROR(__xludf.DUMMYFUNCTION("IMPORTRANGE(""https://docs.google.com/spreadsheets/d/19vJNZY_5yjcGF2XGBMNZRCAIB0Kwfpjp8YEOfu-bneM/edit?usp=sharing"",""งานกองทุน!K85"")"),36965.36)</f>
        <v>36965.360000000001</v>
      </c>
      <c r="K823" s="497">
        <f t="shared" ca="1" si="335"/>
        <v>1.8057736496474088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IFERROR(__xludf.DUMMYFUNCTION("IMPORTRANGE(""https://docs.google.com/spreadsheets/d/19vJNZY_5yjcGF2XGBMNZRCAIB0Kwfpjp8YEOfu-bneM/edit?usp=sharing"",""งานกองทุน!H85"")"),124)</f>
        <v>124</v>
      </c>
      <c r="J824" s="269">
        <f ca="1">IFERROR(__xludf.DUMMYFUNCTION("IMPORTRANGE(""https://docs.google.com/spreadsheets/d/19vJNZY_5yjcGF2XGBMNZRCAIB0Kwfpjp8YEOfu-bneM/edit?usp=sharing"",""งานกองทุน!J85"")"),7)</f>
        <v>7</v>
      </c>
      <c r="K824" s="497">
        <f t="shared" ca="1" si="335"/>
        <v>5.645161290322581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IFERROR(__xludf.DUMMYFUNCTION("IMPORTRANGE(""https://docs.google.com/spreadsheets/d/19vJNZY_5yjcGF2XGBMNZRCAIB0Kwfpjp8YEOfu-bneM/edit?usp=sharing"",""งานกองทุน!N85"")"),0)</f>
        <v>0</v>
      </c>
      <c r="J825" s="269">
        <f ca="1">IFERROR(__xludf.DUMMYFUNCTION("IMPORTRANGE(""https://docs.google.com/spreadsheets/d/19vJNZY_5yjcGF2XGBMNZRCAIB0Kwfpjp8YEOfu-bneM/edit?usp=sharing"",""งานกองทุน!P85"")"),0)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IFERROR(__xludf.DUMMYFUNCTION("IMPORTRANGE(""https://docs.google.com/spreadsheets/d/19vJNZY_5yjcGF2XGBMNZRCAIB0Kwfpjp8YEOfu-bneM/edit?usp=sharing"",""งานกองทุน!M85"")"),0)</f>
        <v>0</v>
      </c>
      <c r="J826" s="269">
        <f ca="1">IFERROR(__xludf.DUMMYFUNCTION("IMPORTRANGE(""https://docs.google.com/spreadsheets/d/19vJNZY_5yjcGF2XGBMNZRCAIB0Kwfpjp8YEOfu-bneM/edit?usp=sharing"",""งานกองทุน!O85"")"),0)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IFERROR(__xludf.DUMMYFUNCTION("IMPORTRANGE(""https://docs.google.com/spreadsheets/d/19vJNZY_5yjcGF2XGBMNZRCAIB0Kwfpjp8YEOfu-bneM/edit?usp=sharing"",""งานกองทุน!S85"")"),1700000)</f>
        <v>1700000</v>
      </c>
      <c r="J827" s="269">
        <f ca="1">IFERROR(__xludf.DUMMYFUNCTION("IMPORTRANGE(""https://docs.google.com/spreadsheets/d/19vJNZY_5yjcGF2XGBMNZRCAIB0Kwfpjp8YEOfu-bneM/edit?usp=sharing"",""งานกองทุน!U85"")"),0)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IFERROR(__xludf.DUMMYFUNCTION("IMPORTRANGE(""https://docs.google.com/spreadsheets/d/19vJNZY_5yjcGF2XGBMNZRCAIB0Kwfpjp8YEOfu-bneM/edit?usp=sharing"",""งานกองทุน!R85"")"),68)</f>
        <v>68</v>
      </c>
      <c r="J828" s="500">
        <f ca="1">IFERROR(__xludf.DUMMYFUNCTION("IMPORTRANGE(""https://docs.google.com/spreadsheets/d/19vJNZY_5yjcGF2XGBMNZRCAIB0Kwfpjp8YEOfu-bneM/edit?usp=sharing"",""งานกองทุน!T85"")"),0)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FD45F-E736-46AF-A133-1A6480106C3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1.285156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351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5145743</v>
      </c>
      <c r="M8" s="22">
        <f t="shared" ca="1" si="0"/>
        <v>1824745</v>
      </c>
      <c r="N8" s="22">
        <f t="shared" ca="1" si="0"/>
        <v>1215049.51</v>
      </c>
      <c r="O8" s="22">
        <f t="shared" ref="O8:O16" ca="1" si="1">IF(L8&gt;0,N8*100/L8,0)</f>
        <v>23.612712683085807</v>
      </c>
      <c r="P8" s="22">
        <f t="shared" ref="P8:P16" ca="1" si="2">IF(M8&gt;0,N8*100/M8,0)</f>
        <v>66.587359329659762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5145743</v>
      </c>
      <c r="M10" s="30">
        <f t="shared" ca="1" si="3"/>
        <v>1824745</v>
      </c>
      <c r="N10" s="30">
        <f t="shared" ca="1" si="3"/>
        <v>1215049.51</v>
      </c>
      <c r="O10" s="30">
        <f t="shared" ca="1" si="1"/>
        <v>23.612712683085807</v>
      </c>
      <c r="P10" s="30">
        <f t="shared" ca="1" si="2"/>
        <v>66.587359329659762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4975043</v>
      </c>
      <c r="M11" s="497">
        <f t="shared" ca="1" si="4"/>
        <v>1654045</v>
      </c>
      <c r="N11" s="497">
        <f t="shared" ca="1" si="4"/>
        <v>1044349.51</v>
      </c>
      <c r="O11" s="497">
        <f t="shared" ca="1" si="1"/>
        <v>20.991768513357574</v>
      </c>
      <c r="P11" s="497">
        <f t="shared" ca="1" si="2"/>
        <v>63.139123179840936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4975043</v>
      </c>
      <c r="M13" s="93">
        <f t="shared" ca="1" si="5"/>
        <v>1654045</v>
      </c>
      <c r="N13" s="93">
        <f t="shared" ca="1" si="5"/>
        <v>1044349.51</v>
      </c>
      <c r="O13" s="93">
        <f t="shared" ca="1" si="1"/>
        <v>20.991768513357574</v>
      </c>
      <c r="P13" s="93">
        <f t="shared" ca="1" si="2"/>
        <v>63.139123179840936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170700</v>
      </c>
      <c r="M14" s="497">
        <f t="shared" ca="1" si="6"/>
        <v>170700</v>
      </c>
      <c r="N14" s="497">
        <f t="shared" ca="1" si="6"/>
        <v>170700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170700</v>
      </c>
      <c r="N16" s="52">
        <f t="shared" ca="1" si="7"/>
        <v>170700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1824745</v>
      </c>
      <c r="N18" s="22">
        <f t="shared" ca="1" si="8"/>
        <v>967401.51</v>
      </c>
      <c r="O18" s="22">
        <f t="shared" ref="O18:O26" ca="1" si="9">IF(L18&gt;0,N18*100/L18,0)</f>
        <v>28.598247864890194</v>
      </c>
      <c r="P18" s="22">
        <f t="shared" ref="P18:P26" ca="1" si="10">IF(M18&gt;0,N18*100/M18,0)</f>
        <v>53.015709592299196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1824745</v>
      </c>
      <c r="N20" s="30">
        <f t="shared" ca="1" si="11"/>
        <v>967401.51</v>
      </c>
      <c r="O20" s="30">
        <f t="shared" ca="1" si="9"/>
        <v>28.598247864890194</v>
      </c>
      <c r="P20" s="30">
        <f t="shared" ca="1" si="10"/>
        <v>53.015709592299196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3212030</v>
      </c>
      <c r="M21" s="497">
        <f t="shared" ca="1" si="12"/>
        <v>1654045</v>
      </c>
      <c r="N21" s="497">
        <f t="shared" ca="1" si="12"/>
        <v>796701.51</v>
      </c>
      <c r="O21" s="497">
        <f t="shared" ca="1" si="9"/>
        <v>24.803675868531737</v>
      </c>
      <c r="P21" s="497">
        <f t="shared" ca="1" si="10"/>
        <v>48.166858217279454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3212030</v>
      </c>
      <c r="M23" s="93">
        <f t="shared" ca="1" si="13"/>
        <v>1654045</v>
      </c>
      <c r="N23" s="93">
        <f t="shared" ca="1" si="13"/>
        <v>796701.51</v>
      </c>
      <c r="O23" s="93">
        <f t="shared" ca="1" si="9"/>
        <v>24.803675868531737</v>
      </c>
      <c r="P23" s="93">
        <f t="shared" ca="1" si="10"/>
        <v>48.166858217279454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170700</v>
      </c>
      <c r="M24" s="497">
        <f t="shared" ca="1" si="14"/>
        <v>170700</v>
      </c>
      <c r="N24" s="497">
        <f t="shared" ca="1" si="14"/>
        <v>170700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170700</v>
      </c>
      <c r="N26" s="52">
        <f t="shared" ca="1" si="15"/>
        <v>170700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1763013</v>
      </c>
      <c r="M28" s="22">
        <f t="shared" si="16"/>
        <v>0</v>
      </c>
      <c r="N28" s="22">
        <f t="shared" si="16"/>
        <v>247648</v>
      </c>
      <c r="O28" s="22">
        <f t="shared" ref="O28:O37" ca="1" si="17">IF(L28&gt;0,N28*100/L28,0)</f>
        <v>14.046861821211754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1763013</v>
      </c>
      <c r="M30" s="30">
        <f t="shared" si="19"/>
        <v>0</v>
      </c>
      <c r="N30" s="30">
        <f t="shared" si="19"/>
        <v>247648</v>
      </c>
      <c r="O30" s="30">
        <f t="shared" ca="1" si="17"/>
        <v>14.046861821211754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1763013</v>
      </c>
      <c r="M31" s="497">
        <f t="shared" si="20"/>
        <v>0</v>
      </c>
      <c r="N31" s="497">
        <f t="shared" si="20"/>
        <v>247648</v>
      </c>
      <c r="O31" s="497">
        <f t="shared" ca="1" si="17"/>
        <v>14.046861821211754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1763013</v>
      </c>
      <c r="M33" s="93">
        <f t="shared" si="21"/>
        <v>0</v>
      </c>
      <c r="N33" s="93">
        <f t="shared" si="21"/>
        <v>247648</v>
      </c>
      <c r="O33" s="93">
        <f t="shared" ca="1" si="17"/>
        <v>14.046861821211754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3382730</v>
      </c>
      <c r="M37" s="59">
        <f t="shared" ca="1" si="24"/>
        <v>1824745</v>
      </c>
      <c r="N37" s="59">
        <f t="shared" ca="1" si="24"/>
        <v>967401.51</v>
      </c>
      <c r="O37" s="59">
        <f t="shared" ca="1" si="17"/>
        <v>28.598247864890194</v>
      </c>
      <c r="P37" s="59">
        <f t="shared" ca="1" si="18"/>
        <v>53.015709592299196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301250</v>
      </c>
      <c r="N41" s="85">
        <f t="shared" ca="1" si="25"/>
        <v>174638</v>
      </c>
      <c r="O41" s="85">
        <f t="shared" ref="O41:O49" ca="1" si="26">IF(L41&gt;0,N41*100/L41,0)</f>
        <v>29.559580230196342</v>
      </c>
      <c r="P41" s="85">
        <f t="shared" ref="P41:P49" ca="1" si="27">IF(M41&gt;0,N41*100/M41,0)</f>
        <v>57.97112033195021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301250</v>
      </c>
      <c r="N43" s="92">
        <f t="shared" ca="1" si="28"/>
        <v>174638</v>
      </c>
      <c r="O43" s="92">
        <f t="shared" ca="1" si="26"/>
        <v>29.559580230196342</v>
      </c>
      <c r="P43" s="92">
        <f t="shared" ca="1" si="27"/>
        <v>57.97112033195021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590800</v>
      </c>
      <c r="M44" s="497">
        <f t="shared" ca="1" si="29"/>
        <v>301250</v>
      </c>
      <c r="N44" s="497">
        <f t="shared" ca="1" si="29"/>
        <v>174638</v>
      </c>
      <c r="O44" s="497">
        <f t="shared" ca="1" si="26"/>
        <v>29.559580230196342</v>
      </c>
      <c r="P44" s="497">
        <f t="shared" ca="1" si="27"/>
        <v>57.97112033195021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IFERROR(__xludf.DUMMYFUNCTION("IMPORTRANGE(""https://docs.google.com/spreadsheets/d/1MeEWN-I1oV_STSDYn1IFDPWt_1FKiwhDph83XaGc0o0/edit?usp=sharing"",""งบพรบ!R86"")"),301250)</f>
        <v>301250</v>
      </c>
      <c r="N46" s="93">
        <f ca="1">IFERROR(__xludf.DUMMYFUNCTION("IMPORTRANGE(""https://docs.google.com/spreadsheets/d/1MeEWN-I1oV_STSDYn1IFDPWt_1FKiwhDph83XaGc0o0/edit?usp=sharing"",""งบพรบ!T86"")"),174638)</f>
        <v>174638</v>
      </c>
      <c r="O46" s="93">
        <f t="shared" ca="1" si="26"/>
        <v>29.559580230196342</v>
      </c>
      <c r="P46" s="93">
        <f t="shared" ca="1" si="27"/>
        <v>57.97112033195021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368300</v>
      </c>
      <c r="N53" s="116">
        <f t="shared" ca="1" si="31"/>
        <v>273262.54000000004</v>
      </c>
      <c r="O53" s="116">
        <f t="shared" ref="O53:O61" ca="1" si="32">IF(L53&gt;0,N53*100/L53,0)</f>
        <v>38.667403424366782</v>
      </c>
      <c r="P53" s="116">
        <f t="shared" ref="P53:P61" ca="1" si="33">IF(M53&gt;0,N53*100/M53,0)</f>
        <v>74.195639424382307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368300</v>
      </c>
      <c r="N55" s="123">
        <f t="shared" ca="1" si="34"/>
        <v>273262.54000000004</v>
      </c>
      <c r="O55" s="123">
        <f t="shared" ca="1" si="32"/>
        <v>38.667403424366782</v>
      </c>
      <c r="P55" s="123">
        <f t="shared" ca="1" si="33"/>
        <v>74.195639424382307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676800</v>
      </c>
      <c r="M56" s="497">
        <f t="shared" ca="1" si="35"/>
        <v>338400</v>
      </c>
      <c r="N56" s="497">
        <f t="shared" ca="1" si="35"/>
        <v>243362.54</v>
      </c>
      <c r="O56" s="497">
        <f t="shared" ca="1" si="32"/>
        <v>35.957822104018909</v>
      </c>
      <c r="P56" s="497">
        <f t="shared" ca="1" si="33"/>
        <v>71.915644208037818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IFERROR(__xludf.DUMMYFUNCTION("IMPORTRANGE(""https://docs.google.com/spreadsheets/d/1MeEWN-I1oV_STSDYn1IFDPWt_1FKiwhDph83XaGc0o0/edit?usp=sharing"",""งบพรบ!AB86"")"),338400)</f>
        <v>338400</v>
      </c>
      <c r="N58" s="93">
        <f ca="1">IFERROR(__xludf.DUMMYFUNCTION("IMPORTRANGE(""https://docs.google.com/spreadsheets/d/1MeEWN-I1oV_STSDYn1IFDPWt_1FKiwhDph83XaGc0o0/edit?usp=sharing"",""งบพรบ!AD86"")"),243362.54)</f>
        <v>243362.54</v>
      </c>
      <c r="O58" s="93">
        <f t="shared" ca="1" si="32"/>
        <v>35.957822104018909</v>
      </c>
      <c r="P58" s="93">
        <f t="shared" ca="1" si="33"/>
        <v>71.915644208037818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29900</v>
      </c>
      <c r="M59" s="497">
        <f t="shared" ca="1" si="36"/>
        <v>29900</v>
      </c>
      <c r="N59" s="497">
        <f t="shared" ca="1" si="36"/>
        <v>29900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27750</v>
      </c>
      <c r="N88" s="155">
        <f t="shared" ca="1" si="49"/>
        <v>13170</v>
      </c>
      <c r="O88" s="155">
        <f t="shared" ref="O88:O96" ca="1" si="50">IF(L88&gt;0,N88*100/L88,0)</f>
        <v>42.21153846153846</v>
      </c>
      <c r="P88" s="155">
        <f t="shared" ref="P88:P96" ca="1" si="51">IF(M88&gt;0,N88*100/M88,0)</f>
        <v>47.45945945945946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31200</v>
      </c>
      <c r="M90" s="93">
        <f t="shared" ca="1" si="52"/>
        <v>27750</v>
      </c>
      <c r="N90" s="93">
        <f t="shared" ca="1" si="52"/>
        <v>13170</v>
      </c>
      <c r="O90" s="93">
        <f t="shared" ca="1" si="50"/>
        <v>42.21153846153846</v>
      </c>
      <c r="P90" s="93">
        <f t="shared" ca="1" si="51"/>
        <v>47.45945945945946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27750</v>
      </c>
      <c r="N91" s="497">
        <f t="shared" ca="1" si="53"/>
        <v>13170</v>
      </c>
      <c r="O91" s="497">
        <f t="shared" ca="1" si="50"/>
        <v>42.21153846153846</v>
      </c>
      <c r="P91" s="497">
        <f t="shared" ca="1" si="51"/>
        <v>47.45945945945946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IFERROR(__xludf.DUMMYFUNCTION("IMPORTRANGE(""https://docs.google.com/spreadsheets/d/1MeEWN-I1oV_STSDYn1IFDPWt_1FKiwhDph83XaGc0o0/edit?usp=sharing"",""งบพรบ!AV86"")"),27750)</f>
        <v>27750</v>
      </c>
      <c r="N93" s="93">
        <f ca="1">IFERROR(__xludf.DUMMYFUNCTION("IMPORTRANGE(""https://docs.google.com/spreadsheets/d/1MeEWN-I1oV_STSDYn1IFDPWt_1FKiwhDph83XaGc0o0/edit?usp=sharing"",""งบพรบ!AX86"")"),13170)</f>
        <v>13170</v>
      </c>
      <c r="O93" s="93">
        <f t="shared" ca="1" si="50"/>
        <v>42.21153846153846</v>
      </c>
      <c r="P93" s="93">
        <f t="shared" ca="1" si="51"/>
        <v>47.45945945945946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IFERROR(__xludf.DUMMYFUNCTION("IMPORTRANGE(""https://docs.google.com/spreadsheets/d/1QqKyyYR6Q21VydFLVH3TRQUabQu_ym0Zz7PgGX0-kHA/edit?usp=sharing"",""แผน!K86"")"),0)</f>
        <v>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IFERROR(__xludf.DUMMYFUNCTION("IMPORTRANGE(""https://docs.google.com/spreadsheets/d/1QqKyyYR6Q21VydFLVH3TRQUabQu_ym0Zz7PgGX0-kHA/edit?usp=sharing"",""แผน!L86"")"),0)</f>
        <v>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IFERROR(__xludf.DUMMYFUNCTION("IMPORTRANGE(""https://docs.google.com/spreadsheets/d/1QqKyyYR6Q21VydFLVH3TRQUabQu_ym0Zz7PgGX0-kHA/edit?usp=sharing"",""แผน!M86"")"),1)</f>
        <v>1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IFERROR(__xludf.DUMMYFUNCTION("IMPORTRANGE(""https://docs.google.com/spreadsheets/d/1QqKyyYR6Q21VydFLVH3TRQUabQu_ym0Zz7PgGX0-kHA/edit?usp=sharing"",""แผน!N86"")"),0)</f>
        <v>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IFERROR(__xludf.DUMMYFUNCTION("IMPORTRANGE(""https://docs.google.com/spreadsheets/d/1QqKyyYR6Q21VydFLVH3TRQUabQu_ym0Zz7PgGX0-kHA/edit?usp=sharing"",""แผน!O86"")"),0)</f>
        <v>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IFERROR(__xludf.DUMMYFUNCTION("IMPORTRANGE(""https://docs.google.com/spreadsheets/d/1QqKyyYR6Q21VydFLVH3TRQUabQu_ym0Zz7PgGX0-kHA/edit?usp=sharing"",""แผน!O86"")"),0)</f>
        <v>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IFERROR(__xludf.DUMMYFUNCTION("IMPORTRANGE(""https://docs.google.com/spreadsheets/d/1QqKyyYR6Q21VydFLVH3TRQUabQu_ym0Zz7PgGX0-kHA/edit?usp=sharing"",""แผน!P86"")"),0)</f>
        <v>0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IFERROR(__xludf.DUMMYFUNCTION("IMPORTRANGE(""https://docs.google.com/spreadsheets/d/1QqKyyYR6Q21VydFLVH3TRQUabQu_ym0Zz7PgGX0-kHA/edit?usp=sharing"",""แผน!P86"")"),0)</f>
        <v>0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IFERROR(__xludf.DUMMYFUNCTION("IMPORTRANGE(""https://docs.google.com/spreadsheets/d/1QqKyyYR6Q21VydFLVH3TRQUabQu_ym0Zz7PgGX0-kHA/edit?usp=sharing"",""แผน!Q86"")"),1)</f>
        <v>1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IFERROR(__xludf.DUMMYFUNCTION("IMPORTRANGE(""https://docs.google.com/spreadsheets/d/1QqKyyYR6Q21VydFLVH3TRQUabQu_ym0Zz7PgGX0-kHA/edit?usp=sharing"",""แผน!Q86"")"),1)</f>
        <v>1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543555</v>
      </c>
      <c r="M132" s="155">
        <f t="shared" ca="1" si="69"/>
        <v>329550</v>
      </c>
      <c r="N132" s="155">
        <f t="shared" ca="1" si="69"/>
        <v>187661</v>
      </c>
      <c r="O132" s="155">
        <f t="shared" ref="O132:O140" ca="1" si="70">IF(L132&gt;0,N132*100/L132,0)</f>
        <v>34.524749105426316</v>
      </c>
      <c r="P132" s="155">
        <f t="shared" ref="P132:P140" ca="1" si="71">IF(M132&gt;0,N132*100/M132,0)</f>
        <v>56.944621453497192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543555</v>
      </c>
      <c r="M134" s="93">
        <f t="shared" ca="1" si="72"/>
        <v>329550</v>
      </c>
      <c r="N134" s="93">
        <f t="shared" ca="1" si="72"/>
        <v>187661</v>
      </c>
      <c r="O134" s="93">
        <f t="shared" ca="1" si="70"/>
        <v>34.524749105426316</v>
      </c>
      <c r="P134" s="93">
        <f t="shared" ca="1" si="71"/>
        <v>56.944621453497192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440555</v>
      </c>
      <c r="M135" s="497">
        <f t="shared" ca="1" si="73"/>
        <v>226550</v>
      </c>
      <c r="N135" s="497">
        <f t="shared" ca="1" si="73"/>
        <v>84661</v>
      </c>
      <c r="O135" s="497">
        <f t="shared" ca="1" si="70"/>
        <v>19.216896868722408</v>
      </c>
      <c r="P135" s="497">
        <f t="shared" ca="1" si="71"/>
        <v>37.369675568307215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IFERROR(__xludf.DUMMYFUNCTION("IMPORTRANGE(""https://docs.google.com/spreadsheets/d/1MeEWN-I1oV_STSDYn1IFDPWt_1FKiwhDph83XaGc0o0/edit?usp=sharing"",""งบพรบ!BP86"")"),226550)</f>
        <v>226550</v>
      </c>
      <c r="N137" s="93">
        <f ca="1">IFERROR(__xludf.DUMMYFUNCTION("IMPORTRANGE(""https://docs.google.com/spreadsheets/d/1MeEWN-I1oV_STSDYn1IFDPWt_1FKiwhDph83XaGc0o0/edit?usp=sharing"",""งบพรบ!BR86"")"),84661)</f>
        <v>84661</v>
      </c>
      <c r="O137" s="93">
        <f t="shared" ca="1" si="70"/>
        <v>19.216896868722408</v>
      </c>
      <c r="P137" s="93">
        <f t="shared" ca="1" si="71"/>
        <v>37.369675568307215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IFERROR(__xludf.DUMMYFUNCTION("IMPORTRANGE(""https://docs.google.com/spreadsheets/d/1QqKyyYR6Q21VydFLVH3TRQUabQu_ym0Zz7PgGX0-kHA/edit?usp=sharing"",""แผน!U86"")"),5)</f>
        <v>5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IFERROR(__xludf.DUMMYFUNCTION("IMPORTRANGE(""https://docs.google.com/spreadsheets/d/1QqKyyYR6Q21VydFLVH3TRQUabQu_ym0Zz7PgGX0-kHA/edit?usp=sharing"",""แผน!V86"")"),10)</f>
        <v>10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IFERROR(__xludf.DUMMYFUNCTION("IMPORTRANGE(""https://docs.google.com/spreadsheets/d/1QqKyyYR6Q21VydFLVH3TRQUabQu_ym0Zz7PgGX0-kHA/edit?usp=sharing"",""แผน!W86"")"),1)</f>
        <v>1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IFERROR(__xludf.DUMMYFUNCTION("IMPORTRANGE(""https://docs.google.com/spreadsheets/d/1QqKyyYR6Q21VydFLVH3TRQUabQu_ym0Zz7PgGX0-kHA/edit?usp=sharing"",""แผน!X86"")"),0)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13</v>
      </c>
      <c r="J164" s="252">
        <f t="shared" si="83"/>
        <v>13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24065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24065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24065</v>
      </c>
      <c r="M168" s="497">
        <f t="shared" ca="1" si="88"/>
        <v>24065</v>
      </c>
      <c r="N168" s="497">
        <f t="shared" ca="1" si="88"/>
        <v>24065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IFERROR(__xludf.DUMMYFUNCTION("IMPORTRANGE(""https://docs.google.com/spreadsheets/d/1MeEWN-I1oV_STSDYn1IFDPWt_1FKiwhDph83XaGc0o0/edit?usp=sharing"",""งบพรบ!CJ86"")"),24065)</f>
        <v>24065</v>
      </c>
      <c r="N170" s="93">
        <f ca="1">IFERROR(__xludf.DUMMYFUNCTION("IMPORTRANGE(""https://docs.google.com/spreadsheets/d/1MeEWN-I1oV_STSDYn1IFDPWt_1FKiwhDph83XaGc0o0/edit?usp=sharing"",""งบพรบ!CL86"")"),24065)</f>
        <v>24065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13</v>
      </c>
      <c r="J174" s="260">
        <f t="shared" si="90"/>
        <v>13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IFERROR(__xludf.DUMMYFUNCTION("IMPORTRANGE(""https://docs.google.com/spreadsheets/d/1QqKyyYR6Q21VydFLVH3TRQUabQu_ym0Zz7PgGX0-kHA/edit?usp=sharing"",""แผน!Y86"")"),13)</f>
        <v>13</v>
      </c>
      <c r="J176" s="214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176400</v>
      </c>
      <c r="M181" s="155">
        <f t="shared" ca="1" si="92"/>
        <v>111000</v>
      </c>
      <c r="N181" s="155">
        <f t="shared" ca="1" si="92"/>
        <v>1600</v>
      </c>
      <c r="O181" s="155">
        <f t="shared" ref="O181:O189" ca="1" si="93">IF(L181&gt;0,N181*100/L181,0)</f>
        <v>0.90702947845804993</v>
      </c>
      <c r="P181" s="155">
        <f t="shared" ref="P181:P189" ca="1" si="94">IF(M181&gt;0,N181*100/M181,0)</f>
        <v>1.4414414414414414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176400</v>
      </c>
      <c r="M183" s="93">
        <f t="shared" ca="1" si="95"/>
        <v>111000</v>
      </c>
      <c r="N183" s="93">
        <f t="shared" ca="1" si="95"/>
        <v>1600</v>
      </c>
      <c r="O183" s="93">
        <f t="shared" ca="1" si="93"/>
        <v>0.90702947845804993</v>
      </c>
      <c r="P183" s="93">
        <f t="shared" ca="1" si="94"/>
        <v>1.4414414414414414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176400</v>
      </c>
      <c r="M184" s="497">
        <f t="shared" ca="1" si="96"/>
        <v>111000</v>
      </c>
      <c r="N184" s="497">
        <f t="shared" ca="1" si="96"/>
        <v>1600</v>
      </c>
      <c r="O184" s="497">
        <f t="shared" ca="1" si="93"/>
        <v>0.90702947845804993</v>
      </c>
      <c r="P184" s="497">
        <f t="shared" ca="1" si="94"/>
        <v>1.4414414414414414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IFERROR(__xludf.DUMMYFUNCTION("IMPORTRANGE(""https://docs.google.com/spreadsheets/d/1MeEWN-I1oV_STSDYn1IFDPWt_1FKiwhDph83XaGc0o0/edit?usp=sharing"",""งบพรบ!CT86"")"),111000)</f>
        <v>111000</v>
      </c>
      <c r="N186" s="93">
        <f ca="1">IFERROR(__xludf.DUMMYFUNCTION("IMPORTRANGE(""https://docs.google.com/spreadsheets/d/1MeEWN-I1oV_STSDYn1IFDPWt_1FKiwhDph83XaGc0o0/edit?usp=sharing"",""งบพรบ!CV86"")"),1600)</f>
        <v>1600</v>
      </c>
      <c r="O186" s="93">
        <f t="shared" ca="1" si="93"/>
        <v>0.90702947845804993</v>
      </c>
      <c r="P186" s="93">
        <f t="shared" ca="1" si="94"/>
        <v>1.4414414414414414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IFERROR(__xludf.DUMMYFUNCTION("IMPORTRANGE(""https://docs.google.com/spreadsheets/d/1QqKyyYR6Q21VydFLVH3TRQUabQu_ym0Zz7PgGX0-kHA/edit?usp=sharing"",""แผน!AC86"")"),4)</f>
        <v>4</v>
      </c>
      <c r="J193" s="214">
        <v>0</v>
      </c>
      <c r="K193" s="497">
        <f ca="1">IF(I193&gt;0,J193*100/I193,0)</f>
        <v>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5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65000</v>
      </c>
      <c r="M198" s="155"/>
      <c r="N198" s="155">
        <f>N199+N200+N201+N202</f>
        <v>1600</v>
      </c>
      <c r="O198" s="155">
        <f ca="1">IF(L198&gt;0,N198*100/L198,0)</f>
        <v>2.4615384615384617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IFERROR(__xludf.DUMMYFUNCTION("IMPORTRANGE(""https://docs.google.com/spreadsheets/d/1QqKyyYR6Q21VydFLVH3TRQUabQu_ym0Zz7PgGX0-kHA/edit?usp=sharing"",""แผน!AE86"")"),5000)</f>
        <v>5000</v>
      </c>
      <c r="M199" s="497"/>
      <c r="N199" s="818">
        <v>1600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IFERROR(__xludf.DUMMYFUNCTION("IMPORTRANGE(""https://docs.google.com/spreadsheets/d/1QqKyyYR6Q21VydFLVH3TRQUabQu_ym0Zz7PgGX0-kHA/edit?usp=sharing"",""แผน!AF86"")"),40000)</f>
        <v>40000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IFERROR(__xludf.DUMMYFUNCTION("IMPORTRANGE(""https://docs.google.com/spreadsheets/d/1QqKyyYR6Q21VydFLVH3TRQUabQu_ym0Zz7PgGX0-kHA/edit?usp=sharing"",""แผน!AG86"")"),20000)</f>
        <v>20000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IFERROR(__xludf.DUMMYFUNCTION("IMPORTRANGE(""https://docs.google.com/spreadsheets/d/1QqKyyYR6Q21VydFLVH3TRQUabQu_ym0Zz7PgGX0-kHA/edit?usp=sharing"",""แผน!AH86"")"),0)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IFERROR(__xludf.DUMMYFUNCTION("IMPORTRANGE(""https://docs.google.com/spreadsheets/d/1QqKyyYR6Q21VydFLVH3TRQUabQu_ym0Zz7PgGX0-kHA/edit?usp=sharing"",""แผน!AI86"")"),5)</f>
        <v>5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5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7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98000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IFERROR(__xludf.DUMMYFUNCTION("IMPORTRANGE(""https://docs.google.com/spreadsheets/d/1QqKyyYR6Q21VydFLVH3TRQUabQu_ym0Zz7PgGX0-kHA/edit?usp=sharing"",""แผน!AK86"")"),7000)</f>
        <v>7000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IFERROR(__xludf.DUMMYFUNCTION("IMPORTRANGE(""https://docs.google.com/spreadsheets/d/1QqKyyYR6Q21VydFLVH3TRQUabQu_ym0Zz7PgGX0-kHA/edit?usp=sharing"",""แผน!AL86"")"),35000)</f>
        <v>35000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IFERROR(__xludf.DUMMYFUNCTION("IMPORTRANGE(""https://docs.google.com/spreadsheets/d/1QqKyyYR6Q21VydFLVH3TRQUabQu_ym0Zz7PgGX0-kHA/edit?usp=sharing"",""แผน!AM86"")"),56000)</f>
        <v>56000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IFERROR(__xludf.DUMMYFUNCTION("IMPORTRANGE(""https://docs.google.com/spreadsheets/d/1QqKyyYR6Q21VydFLVH3TRQUabQu_ym0Zz7PgGX0-kHA/edit?usp=sharing"",""แผน!AN86"")"),7)</f>
        <v>7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IFERROR(__xludf.DUMMYFUNCTION("IMPORTRANGE(""https://docs.google.com/spreadsheets/d/1QqKyyYR6Q21VydFLVH3TRQUabQu_ym0Zz7PgGX0-kHA/edit?usp=sharing"",""แผน!AN86"")"),7)</f>
        <v>7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15000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IFERROR(__xludf.DUMMYFUNCTION("IMPORTRANGE(""https://docs.google.com/spreadsheets/d/1QqKyyYR6Q21VydFLVH3TRQUabQu_ym0Zz7PgGX0-kHA/edit?usp=sharing"",""แผน!AP86"")"),3000)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IFERROR(__xludf.DUMMYFUNCTION("IMPORTRANGE(""https://docs.google.com/spreadsheets/d/1QqKyyYR6Q21VydFLVH3TRQUabQu_ym0Zz7PgGX0-kHA/edit?usp=sharing"",""แผน!AQ86"")"),4400)</f>
        <v>4400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IFERROR(__xludf.DUMMYFUNCTION("IMPORTRANGE(""https://docs.google.com/spreadsheets/d/1QqKyyYR6Q21VydFLVH3TRQUabQu_ym0Zz7PgGX0-kHA/edit?usp=sharing"",""แผน!AR86"")"),0)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IFERROR(__xludf.DUMMYFUNCTION("IMPORTRANGE(""https://docs.google.com/spreadsheets/d/1QqKyyYR6Q21VydFLVH3TRQUabQu_ym0Zz7PgGX0-kHA/edit?usp=sharing"",""แผน!AT86"")"),15000)</f>
        <v>15000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IFERROR(__xludf.DUMMYFUNCTION("IMPORTRANGE(""https://docs.google.com/spreadsheets/d/1QqKyyYR6Q21VydFLVH3TRQUabQu_ym0Zz7PgGX0-kHA/edit?usp=sharing"",""แผน!AT86"")"),15000)</f>
        <v>15000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IFERROR(__xludf.DUMMYFUNCTION("IMPORTRANGE(""https://docs.google.com/spreadsheets/d/1QqKyyYR6Q21VydFLVH3TRQUabQu_ym0Zz7PgGX0-kHA/edit?usp=sharing"",""แผน!AS86"")"),0)</f>
        <v>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IFERROR(__xludf.DUMMYFUNCTION("IMPORTRANGE(""https://docs.google.com/spreadsheets/d/1QqKyyYR6Q21VydFLVH3TRQUabQu_ym0Zz7PgGX0-kHA/edit?usp=sharing"",""แผน!AV86"")"),0)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IFERROR(__xludf.DUMMYFUNCTION("IMPORTRANGE(""https://docs.google.com/spreadsheets/d/1QqKyyYR6Q21VydFLVH3TRQUabQu_ym0Zz7PgGX0-kHA/edit?usp=sharing"",""แผน!AW86"")"),0)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IFERROR(__xludf.DUMMYFUNCTION("IMPORTRANGE(""https://docs.google.com/spreadsheets/d/1QqKyyYR6Q21VydFLVH3TRQUabQu_ym0Zz7PgGX0-kHA/edit?usp=sharing"",""แผน!AX86"")"),0)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IFERROR(__xludf.DUMMYFUNCTION("IMPORTRANGE(""https://docs.google.com/spreadsheets/d/1QqKyyYR6Q21VydFLVH3TRQUabQu_ym0Zz7PgGX0-kHA/edit?usp=sharing"",""แผน!AY86"")"),0)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IFERROR(__xludf.DUMMYFUNCTION("IMPORTRANGE(""https://docs.google.com/spreadsheets/d/1QqKyyYR6Q21VydFLVH3TRQUabQu_ym0Zz7PgGX0-kHA/edit?usp=sharing"",""แผน!BE86"")"),0)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IFERROR(__xludf.DUMMYFUNCTION("IMPORTRANGE(""https://docs.google.com/spreadsheets/d/1QqKyyYR6Q21VydFLVH3TRQUabQu_ym0Zz7PgGX0-kHA/edit?usp=sharing"",""แผน!AZ86"")"),0)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IFERROR(__xludf.DUMMYFUNCTION("IMPORTRANGE(""https://docs.google.com/spreadsheets/d/1QqKyyYR6Q21VydFLVH3TRQUabQu_ym0Zz7PgGX0-kHA/edit?usp=sharing"",""แผน!BA86"")"),0)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IFERROR(__xludf.DUMMYFUNCTION("IMPORTRANGE(""https://docs.google.com/spreadsheets/d/1QqKyyYR6Q21VydFLVH3TRQUabQu_ym0Zz7PgGX0-kHA/edit?usp=sharing"",""แผน!BB86"")"),0)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IFERROR(__xludf.DUMMYFUNCTION("IMPORTRANGE(""https://docs.google.com/spreadsheets/d/1QqKyyYR6Q21VydFLVH3TRQUabQu_ym0Zz7PgGX0-kHA/edit?usp=sharing"",""แผน!BC86"")"),0)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IFERROR(__xludf.DUMMYFUNCTION("IMPORTRANGE(""https://docs.google.com/spreadsheets/d/1QqKyyYR6Q21VydFLVH3TRQUabQu_ym0Zz7PgGX0-kHA/edit?usp=sharing"",""แผน!BF86"")"),0)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20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IFERROR(__xludf.DUMMYFUNCTION("IMPORTRANGE(""https://docs.google.com/spreadsheets/d/1MeEWN-I1oV_STSDYn1IFDPWt_1FKiwhDph83XaGc0o0/edit?usp=sharing"",""งบพรบ!DD86"")"),0)</f>
        <v>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IFERROR(__xludf.DUMMYFUNCTION("IMPORTRANGE(""https://docs.google.com/spreadsheets/d/1QqKyyYR6Q21VydFLVH3TRQUabQu_ym0Zz7PgGX0-kHA/edit?usp=sharing"",""แผน!EA86"")"),20)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IFERROR(__xludf.DUMMYFUNCTION("IMPORTRANGE(""https://docs.google.com/spreadsheets/d/1QqKyyYR6Q21VydFLVH3TRQUabQu_ym0Zz7PgGX0-kHA/edit?usp=sharing"",""แผน!EC86"")"),0)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IFERROR(__xludf.DUMMYFUNCTION("IMPORTRANGE(""https://docs.google.com/spreadsheets/d/1QqKyyYR6Q21VydFLVH3TRQUabQu_ym0Zz7PgGX0-kHA/edit?usp=sharing"",""แผน!EB86"")"),0)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IFERROR(__xludf.DUMMYFUNCTION("IMPORTRANGE(""https://docs.google.com/spreadsheets/d/1QqKyyYR6Q21VydFLVH3TRQUabQu_ym0Zz7PgGX0-kHA/edit?usp=sharing"",""แผน!EB86"")"),0)</f>
        <v>0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8780</v>
      </c>
      <c r="O298" s="155">
        <f t="shared" ref="O298:O306" ca="1" si="136">IF(L298&gt;0,N298*100/L298,0)</f>
        <v>10.655339805825243</v>
      </c>
      <c r="P298" s="155">
        <f t="shared" ref="P298:P306" ca="1" si="137">IF(M298&gt;0,N298*100/M298,0)</f>
        <v>17.874592833876221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8780</v>
      </c>
      <c r="O300" s="93">
        <f t="shared" ca="1" si="136"/>
        <v>10.655339805825243</v>
      </c>
      <c r="P300" s="93">
        <f t="shared" ca="1" si="137"/>
        <v>17.874592833876221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8780</v>
      </c>
      <c r="O301" s="497">
        <f t="shared" ca="1" si="136"/>
        <v>10.655339805825243</v>
      </c>
      <c r="P301" s="497">
        <f t="shared" ca="1" si="137"/>
        <v>17.874592833876221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IFERROR(__xludf.DUMMYFUNCTION("IMPORTRANGE(""https://docs.google.com/spreadsheets/d/1MeEWN-I1oV_STSDYn1IFDPWt_1FKiwhDph83XaGc0o0/edit?usp=sharing"",""งบพรบ!DX86"")"),49120)</f>
        <v>49120</v>
      </c>
      <c r="N303" s="93">
        <f ca="1">IFERROR(__xludf.DUMMYFUNCTION("IMPORTRANGE(""https://docs.google.com/spreadsheets/d/1MeEWN-I1oV_STSDYn1IFDPWt_1FKiwhDph83XaGc0o0/edit?usp=sharing"",""งบพรบ!DZ86"")"),8780)</f>
        <v>8780</v>
      </c>
      <c r="O303" s="93">
        <f t="shared" ca="1" si="136"/>
        <v>10.655339805825243</v>
      </c>
      <c r="P303" s="93">
        <f t="shared" ca="1" si="137"/>
        <v>17.874592833876221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20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IFERROR(__xludf.DUMMYFUNCTION("IMPORTRANGE(""https://docs.google.com/spreadsheets/d/1QqKyyYR6Q21VydFLVH3TRQUabQu_ym0Zz7PgGX0-kHA/edit?usp=sharing"",""แผน!ED86"")"),20)</f>
        <v>20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IFERROR(__xludf.DUMMYFUNCTION("IMPORTRANGE(""https://docs.google.com/spreadsheets/d/1QqKyyYR6Q21VydFLVH3TRQUabQu_ym0Zz7PgGX0-kHA/edit?usp=sharing"",""แผน!ED86"")"),20)</f>
        <v>20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IFERROR(__xludf.DUMMYFUNCTION("IMPORTRANGE(""https://docs.google.com/spreadsheets/d/1QqKyyYR6Q21VydFLVH3TRQUabQu_ym0Zz7PgGX0-kHA/edit?usp=sharing"",""แผน!ED86"")"),20)</f>
        <v>20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IFERROR(__xludf.DUMMYFUNCTION("IMPORTRANGE(""https://docs.google.com/spreadsheets/d/1QqKyyYR6Q21VydFLVH3TRQUabQu_ym0Zz7PgGX0-kHA/edit?usp=sharing"",""แผน!EE86"")"),4)</f>
        <v>4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296000</v>
      </c>
      <c r="M315" s="155">
        <f t="shared" ca="1" si="143"/>
        <v>141500</v>
      </c>
      <c r="N315" s="155">
        <f t="shared" ca="1" si="143"/>
        <v>43195</v>
      </c>
      <c r="O315" s="155">
        <f t="shared" ref="O315:O323" ca="1" si="144">IF(L315&gt;0,N315*100/L315,0)</f>
        <v>14.592905405405405</v>
      </c>
      <c r="P315" s="155">
        <f t="shared" ref="P315:P323" ca="1" si="145">IF(M315&gt;0,N315*100/M315,0)</f>
        <v>30.526501766784452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296000</v>
      </c>
      <c r="M317" s="93">
        <f t="shared" ca="1" si="146"/>
        <v>141500</v>
      </c>
      <c r="N317" s="93">
        <f t="shared" ca="1" si="146"/>
        <v>43195</v>
      </c>
      <c r="O317" s="93">
        <f t="shared" ca="1" si="144"/>
        <v>14.592905405405405</v>
      </c>
      <c r="P317" s="93">
        <f t="shared" ca="1" si="145"/>
        <v>30.526501766784452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296000</v>
      </c>
      <c r="M318" s="497">
        <f t="shared" ca="1" si="147"/>
        <v>141500</v>
      </c>
      <c r="N318" s="497">
        <f t="shared" ca="1" si="147"/>
        <v>43195</v>
      </c>
      <c r="O318" s="497">
        <f t="shared" ca="1" si="144"/>
        <v>14.592905405405405</v>
      </c>
      <c r="P318" s="497">
        <f t="shared" ca="1" si="145"/>
        <v>30.526501766784452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IFERROR(__xludf.DUMMYFUNCTION("IMPORTRANGE(""https://docs.google.com/spreadsheets/d/1MeEWN-I1oV_STSDYn1IFDPWt_1FKiwhDph83XaGc0o0/edit?usp=sharing"",""งบพรบ!EH86"")"),141500)</f>
        <v>141500</v>
      </c>
      <c r="N320" s="93">
        <f ca="1">IFERROR(__xludf.DUMMYFUNCTION("IMPORTRANGE(""https://docs.google.com/spreadsheets/d/1MeEWN-I1oV_STSDYn1IFDPWt_1FKiwhDph83XaGc0o0/edit?usp=sharing"",""งบพรบ!EJ86"")"),43195)</f>
        <v>43195</v>
      </c>
      <c r="O320" s="93">
        <f t="shared" ca="1" si="144"/>
        <v>14.592905405405405</v>
      </c>
      <c r="P320" s="93">
        <f t="shared" ca="1" si="145"/>
        <v>30.526501766784452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IFERROR(__xludf.DUMMYFUNCTION("IMPORTRANGE(""https://docs.google.com/spreadsheets/d/1MeEWN-I1oV_STSDYn1IFDPWt_1FKiwhDph83XaGc0o0/edit?usp=sharing"",""งบพรบ!EI86"")"),0)</f>
        <v>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IFERROR(__xludf.DUMMYFUNCTION("IMPORTRANGE(""https://docs.google.com/spreadsheets/d/1QqKyyYR6Q21VydFLVH3TRQUabQu_ym0Zz7PgGX0-kHA/edit?usp=sharing"",""แผน!EF86"")"),1)</f>
        <v>1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IFERROR(__xludf.DUMMYFUNCTION("IMPORTRANGE(""https://docs.google.com/spreadsheets/d/1QqKyyYR6Q21VydFLVH3TRQUabQu_ym0Zz7PgGX0-kHA/edit?usp=sharing"",""แผน!EG86"")"),1300)</f>
        <v>1300</v>
      </c>
      <c r="J327" s="444">
        <f ca="1">J338+J341+J342+J343</f>
        <v>861</v>
      </c>
      <c r="K327" s="445">
        <f ca="1">IF(I327&gt;0,J327*100/I327,0)</f>
        <v>66.230769230769226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168000</v>
      </c>
      <c r="M328" s="155">
        <f t="shared" ca="1" si="149"/>
        <v>84000</v>
      </c>
      <c r="N328" s="155">
        <f t="shared" ca="1" si="149"/>
        <v>41122</v>
      </c>
      <c r="O328" s="155">
        <f t="shared" ref="O328:O336" ca="1" si="150">IF(L328&gt;0,N328*100/L328,0)</f>
        <v>24.477380952380951</v>
      </c>
      <c r="P328" s="155">
        <f t="shared" ref="P328:P336" ca="1" si="151">IF(M328&gt;0,N328*100/M328,0)</f>
        <v>48.954761904761902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168000</v>
      </c>
      <c r="M330" s="93">
        <f t="shared" ca="1" si="152"/>
        <v>84000</v>
      </c>
      <c r="N330" s="93">
        <f t="shared" ca="1" si="152"/>
        <v>41122</v>
      </c>
      <c r="O330" s="93">
        <f t="shared" ca="1" si="150"/>
        <v>24.477380952380951</v>
      </c>
      <c r="P330" s="93">
        <f t="shared" ca="1" si="151"/>
        <v>48.954761904761902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168000</v>
      </c>
      <c r="M331" s="497">
        <f t="shared" ca="1" si="153"/>
        <v>84000</v>
      </c>
      <c r="N331" s="497">
        <f t="shared" ca="1" si="153"/>
        <v>41122</v>
      </c>
      <c r="O331" s="497">
        <f t="shared" ca="1" si="150"/>
        <v>24.477380952380951</v>
      </c>
      <c r="P331" s="497">
        <f t="shared" ca="1" si="151"/>
        <v>48.954761904761902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IFERROR(__xludf.DUMMYFUNCTION("IMPORTRANGE(""https://docs.google.com/spreadsheets/d/1MeEWN-I1oV_STSDYn1IFDPWt_1FKiwhDph83XaGc0o0/edit?usp=sharing"",""งบพรบ!ER86"")"),84000)</f>
        <v>84000</v>
      </c>
      <c r="N333" s="93">
        <f ca="1">IFERROR(__xludf.DUMMYFUNCTION("IMPORTRANGE(""https://docs.google.com/spreadsheets/d/1MeEWN-I1oV_STSDYn1IFDPWt_1FKiwhDph83XaGc0o0/edit?usp=sharing"",""งบพรบ!ET86"")"),41122)</f>
        <v>41122</v>
      </c>
      <c r="O333" s="93">
        <f t="shared" ca="1" si="150"/>
        <v>24.477380952380951</v>
      </c>
      <c r="P333" s="93">
        <f t="shared" ca="1" si="151"/>
        <v>48.954761904761902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IFERROR(__xludf.DUMMYFUNCTION("IMPORTRANGE(""https://docs.google.com/spreadsheets/d/1QqKyyYR6Q21VydFLVH3TRQUabQu_ym0Zz7PgGX0-kHA/edit?usp=sharing"",""แผน!EG86"")"),1300)</f>
        <v>1300</v>
      </c>
      <c r="J338" s="269">
        <f ca="1">IFERROR(__xludf.DUMMYFUNCTION("IMPORTRANGE(""https://docs.google.com/spreadsheets/d/1kVcqe37tkHyjCSG3S0O1AXqVkqjo8mSIZil3BcpIysc/edit?usp=sharing"",""ศูนย์!D86"")"),769)</f>
        <v>769</v>
      </c>
      <c r="K338" s="497">
        <f ca="1">IF(I338&gt;0,J338*100/I338,0)</f>
        <v>59.153846153846153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IFERROR(__xludf.DUMMYFUNCTION("IMPORTRANGE(""https://docs.google.com/spreadsheets/d/1QqKyyYR6Q21VydFLVH3TRQUabQu_ym0Zz7PgGX0-kHA/edit?usp=sharing"",""แผน!EH86"")"),5)</f>
        <v>5</v>
      </c>
      <c r="J340" s="269">
        <f ca="1">IFERROR(__xludf.DUMMYFUNCTION("IMPORTRANGE(""https://docs.google.com/spreadsheets/d/1kVcqe37tkHyjCSG3S0O1AXqVkqjo8mSIZil3BcpIysc/edit?usp=sharing"",""ศูนย์!E86"")"),1)</f>
        <v>1</v>
      </c>
      <c r="K340" s="497">
        <f ca="1">IF(I340&gt;0,J340*100/I340,0)</f>
        <v>20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IFERROR(__xludf.DUMMYFUNCTION("IMPORTRANGE(""https://docs.google.com/spreadsheets/d/1kVcqe37tkHyjCSG3S0O1AXqVkqjo8mSIZil3BcpIysc/edit?usp=sharing"",""ศูนย์!F86"")"),90)</f>
        <v>90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IFERROR(__xludf.DUMMYFUNCTION("IMPORTRANGE(""https://docs.google.com/spreadsheets/d/1kVcqe37tkHyjCSG3S0O1AXqVkqjo8mSIZil3BcpIysc/edit?usp=sharing"",""ศูนย์!G86"")"),2)</f>
        <v>2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738610</v>
      </c>
      <c r="M345" s="155">
        <f t="shared" ca="1" si="155"/>
        <v>388210</v>
      </c>
      <c r="N345" s="155">
        <f t="shared" ca="1" si="155"/>
        <v>199907.97</v>
      </c>
      <c r="O345" s="155">
        <f t="shared" ref="O345:O353" ca="1" si="156">IF(L345&gt;0,N345*100/L345,0)</f>
        <v>27.065429658412423</v>
      </c>
      <c r="P345" s="155">
        <f t="shared" ref="P345:P353" ca="1" si="157">IF(M345&gt;0,N345*100/M345,0)</f>
        <v>51.494801782540378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738610</v>
      </c>
      <c r="M347" s="93">
        <f t="shared" ca="1" si="158"/>
        <v>388210</v>
      </c>
      <c r="N347" s="93">
        <f t="shared" ca="1" si="158"/>
        <v>199907.97</v>
      </c>
      <c r="O347" s="93">
        <f t="shared" ca="1" si="156"/>
        <v>27.065429658412423</v>
      </c>
      <c r="P347" s="93">
        <f t="shared" ca="1" si="157"/>
        <v>51.494801782540378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700810</v>
      </c>
      <c r="M348" s="497">
        <f t="shared" ca="1" si="159"/>
        <v>350410</v>
      </c>
      <c r="N348" s="497">
        <f t="shared" ca="1" si="159"/>
        <v>162107.97</v>
      </c>
      <c r="O348" s="497">
        <f t="shared" ca="1" si="156"/>
        <v>23.131514961259114</v>
      </c>
      <c r="P348" s="497">
        <f t="shared" ca="1" si="157"/>
        <v>46.262369795382554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IFERROR(__xludf.DUMMYFUNCTION("IMPORTRANGE(""https://docs.google.com/spreadsheets/d/1MeEWN-I1oV_STSDYn1IFDPWt_1FKiwhDph83XaGc0o0/edit?usp=sharing"",""งบพรบ!FB86"")"),350410)</f>
        <v>350410</v>
      </c>
      <c r="N350" s="93">
        <f ca="1">IFERROR(__xludf.DUMMYFUNCTION("IMPORTRANGE(""https://docs.google.com/spreadsheets/d/1MeEWN-I1oV_STSDYn1IFDPWt_1FKiwhDph83XaGc0o0/edit?usp=sharing"",""งบพรบ!FD86"")"),162107.97)</f>
        <v>162107.97</v>
      </c>
      <c r="O350" s="93">
        <f t="shared" ca="1" si="156"/>
        <v>23.131514961259114</v>
      </c>
      <c r="P350" s="93">
        <f t="shared" ca="1" si="157"/>
        <v>46.262369795382554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37800</v>
      </c>
      <c r="M351" s="497">
        <f t="shared" ca="1" si="160"/>
        <v>37800</v>
      </c>
      <c r="N351" s="497">
        <f t="shared" ca="1" si="160"/>
        <v>37800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IFERROR(__xludf.DUMMYFUNCTION("IMPORTRANGE(""https://docs.google.com/spreadsheets/d/1MeEWN-I1oV_STSDYn1IFDPWt_1FKiwhDph83XaGc0o0/edit?usp=sharing"",""งบพรบ!FC86"")"),37800)</f>
        <v>37800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IFERROR(__xludf.DUMMYFUNCTION("IMPORTRANGE(""https://docs.google.com/spreadsheets/d/1QqKyyYR6Q21VydFLVH3TRQUabQu_ym0Zz7PgGX0-kHA/edit?usp=sharing"",""แผน!EP86"")"),140)</f>
        <v>140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IFERROR(__xludf.DUMMYFUNCTION("IMPORTRANGE(""https://docs.google.com/spreadsheets/d/1XWAQStnk-4SwqDmLtmXYiTMKHgktTP8We1SCoS47DrQ/edit?usp=sharing"",""จัดที่ดิน!W86"")"),42)</f>
        <v>42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IFERROR(__xludf.DUMMYFUNCTION("IMPORTRANGE(""https://docs.google.com/spreadsheets/d/1QqKyyYR6Q21VydFLVH3TRQUabQu_ym0Zz7PgGX0-kHA/edit?usp=sharing"",""แผน!EO86"")"),1400)</f>
        <v>1400</v>
      </c>
      <c r="J359" s="269">
        <f ca="1">IFERROR(__xludf.DUMMYFUNCTION("IMPORTRANGE(""https://docs.google.com/spreadsheets/d/1XWAQStnk-4SwqDmLtmXYiTMKHgktTP8We1SCoS47DrQ/edit?usp=sharing"",""จัดที่ดิน!X86"")"),490.5)</f>
        <v>490.5</v>
      </c>
      <c r="K359" s="497">
        <f t="shared" ca="1" si="161"/>
        <v>35.035714285714285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IFERROR(__xludf.DUMMYFUNCTION("IMPORTRANGE(""https://docs.google.com/spreadsheets/d/1QqKyyYR6Q21VydFLVH3TRQUabQu_ym0Zz7PgGX0-kHA/edit?usp=sharing"",""แผน!EP86"")"),140)</f>
        <v>140</v>
      </c>
      <c r="J360" s="269">
        <f ca="1">IFERROR(__xludf.DUMMYFUNCTION("IMPORTRANGE(""https://docs.google.com/spreadsheets/d/1XWAQStnk-4SwqDmLtmXYiTMKHgktTP8We1SCoS47DrQ/edit?usp=sharing"",""จัดที่ดิน!Y86"")"),17)</f>
        <v>17</v>
      </c>
      <c r="K360" s="497">
        <f t="shared" ca="1" si="161"/>
        <v>12.142857142857142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IFERROR(__xludf.DUMMYFUNCTION("IMPORTRANGE(""https://docs.google.com/spreadsheets/d/1XWAQStnk-4SwqDmLtmXYiTMKHgktTP8We1SCoS47DrQ/edit?usp=sharing"",""จัดที่ดิน!Z86"")"),275.28)</f>
        <v>275.27999999999997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IFERROR(__xludf.DUMMYFUNCTION("IMPORTRANGE(""https://docs.google.com/spreadsheets/d/1QqKyyYR6Q21VydFLVH3TRQUabQu_ym0Zz7PgGX0-kHA/edit?usp=sharing"",""แผน!EP86"")"),140)</f>
        <v>140</v>
      </c>
      <c r="J362" s="269">
        <f ca="1">IFERROR(__xludf.DUMMYFUNCTION("IMPORTRANGE(""https://docs.google.com/spreadsheets/d/1XWAQStnk-4SwqDmLtmXYiTMKHgktTP8We1SCoS47DrQ/edit?usp=sharing"",""จัดที่ดิน!AA86"")"),0)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IFERROR(__xludf.DUMMYFUNCTION("IMPORTRANGE(""https://docs.google.com/spreadsheets/d/1XWAQStnk-4SwqDmLtmXYiTMKHgktTP8We1SCoS47DrQ/edit?usp=sharing"",""จัดที่ดิน!AB86"")"),0)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290</v>
      </c>
      <c r="J364" s="478">
        <f t="shared" ca="1" si="162"/>
        <v>92</v>
      </c>
      <c r="K364" s="479">
        <f t="shared" ca="1" si="161"/>
        <v>31.724137931034484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IFERROR(__xludf.DUMMYFUNCTION("IMPORTRANGE(""https://docs.google.com/spreadsheets/d/1QqKyyYR6Q21VydFLVH3TRQUabQu_ym0Zz7PgGX0-kHA/edit?usp=sharing"",""แผน!EJ86"")"),40)</f>
        <v>40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IFERROR(__xludf.DUMMYFUNCTION("IMPORTRANGE(""https://docs.google.com/spreadsheets/d/1XWAQStnk-4SwqDmLtmXYiTMKHgktTP8We1SCoS47DrQ/edit?usp=sharing"",""จัดที่ดิน!E86"")"),14)</f>
        <v>14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IFERROR(__xludf.DUMMYFUNCTION("IMPORTRANGE(""https://docs.google.com/spreadsheets/d/1QqKyyYR6Q21VydFLVH3TRQUabQu_ym0Zz7PgGX0-kHA/edit?usp=sharing"",""แผน!EI86"")"),400)</f>
        <v>400</v>
      </c>
      <c r="J369" s="269">
        <f ca="1">IFERROR(__xludf.DUMMYFUNCTION("IMPORTRANGE(""https://docs.google.com/spreadsheets/d/1XWAQStnk-4SwqDmLtmXYiTMKHgktTP8We1SCoS47DrQ/edit?usp=sharing"",""จัดที่ดิน!F86"")"),260.49)</f>
        <v>260.49</v>
      </c>
      <c r="K369" s="497">
        <f t="shared" ca="1" si="163"/>
        <v>65.122500000000002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IFERROR(__xludf.DUMMYFUNCTION("IMPORTRANGE(""https://docs.google.com/spreadsheets/d/1QqKyyYR6Q21VydFLVH3TRQUabQu_ym0Zz7PgGX0-kHA/edit?usp=sharing"",""แผน!EJ86"")"),40)</f>
        <v>40</v>
      </c>
      <c r="J370" s="269">
        <f ca="1">IFERROR(__xludf.DUMMYFUNCTION("IMPORTRANGE(""https://docs.google.com/spreadsheets/d/1XWAQStnk-4SwqDmLtmXYiTMKHgktTP8We1SCoS47DrQ/edit?usp=sharing"",""จัดที่ดิน!G86"")"),17)</f>
        <v>17</v>
      </c>
      <c r="K370" s="497">
        <f t="shared" ca="1" si="163"/>
        <v>42.5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IFERROR(__xludf.DUMMYFUNCTION("IMPORTRANGE(""https://docs.google.com/spreadsheets/d/1XWAQStnk-4SwqDmLtmXYiTMKHgktTP8We1SCoS47DrQ/edit?usp=sharing"",""จัดที่ดิน!H86"")"),275.28)</f>
        <v>275.27999999999997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IFERROR(__xludf.DUMMYFUNCTION("IMPORTRANGE(""https://docs.google.com/spreadsheets/d/1QqKyyYR6Q21VydFLVH3TRQUabQu_ym0Zz7PgGX0-kHA/edit?usp=sharing"",""แผน!EJ86"")"),40)</f>
        <v>40</v>
      </c>
      <c r="J372" s="269">
        <f ca="1">IFERROR(__xludf.DUMMYFUNCTION("IMPORTRANGE(""https://docs.google.com/spreadsheets/d/1XWAQStnk-4SwqDmLtmXYiTMKHgktTP8We1SCoS47DrQ/edit?usp=sharing"",""จัดที่ดิน!I86"")"),0)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IFERROR(__xludf.DUMMYFUNCTION("IMPORTRANGE(""https://docs.google.com/spreadsheets/d/1XWAQStnk-4SwqDmLtmXYiTMKHgktTP8We1SCoS47DrQ/edit?usp=sharing"",""จัดที่ดิน!J86"")"),0)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IFERROR(__xludf.DUMMYFUNCTION("IMPORTRANGE(""https://docs.google.com/spreadsheets/d/1QqKyyYR6Q21VydFLVH3TRQUabQu_ym0Zz7PgGX0-kHA/edit?usp=sharing"",""แผน!EU86"")"),250)</f>
        <v>250</v>
      </c>
      <c r="J374" s="490">
        <f ca="1">J381</f>
        <v>92</v>
      </c>
      <c r="K374" s="491">
        <f t="shared" ca="1" si="163"/>
        <v>36.799999999999997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IFERROR(__xludf.DUMMYFUNCTION("IMPORTRANGE(""https://docs.google.com/spreadsheets/d/1XWAQStnk-4SwqDmLtmXYiTMKHgktTP8We1SCoS47DrQ/edit?usp=sharing"",""จัดที่ดิน!AH86"")"),28)</f>
        <v>28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IFERROR(__xludf.DUMMYFUNCTION("IMPORTRANGE(""https://docs.google.com/spreadsheets/d/1QqKyyYR6Q21VydFLVH3TRQUabQu_ym0Zz7PgGX0-kHA/edit?usp=sharing"",""แผน!ET86"")"),1000)</f>
        <v>1000</v>
      </c>
      <c r="J378" s="269">
        <f ca="1">IFERROR(__xludf.DUMMYFUNCTION("IMPORTRANGE(""https://docs.google.com/spreadsheets/d/1XWAQStnk-4SwqDmLtmXYiTMKHgktTP8We1SCoS47DrQ/edit?usp=sharing"",""จัดที่ดิน!AI86"")"),230.01)</f>
        <v>230.01</v>
      </c>
      <c r="K378" s="497">
        <f t="shared" ca="1" si="164"/>
        <v>23.001000000000001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IFERROR(__xludf.DUMMYFUNCTION("IMPORTRANGE(""https://docs.google.com/spreadsheets/d/1QqKyyYR6Q21VydFLVH3TRQUabQu_ym0Zz7PgGX0-kHA/edit?usp=sharing"",""แผน!EU86"")"),250)</f>
        <v>250</v>
      </c>
      <c r="J379" s="269">
        <f ca="1">IFERROR(__xludf.DUMMYFUNCTION("IMPORTRANGE(""https://docs.google.com/spreadsheets/d/1XWAQStnk-4SwqDmLtmXYiTMKHgktTP8We1SCoS47DrQ/edit?usp=sharing"",""จัดที่ดิน!AJ86"")"),164)</f>
        <v>164</v>
      </c>
      <c r="K379" s="497">
        <f t="shared" ca="1" si="164"/>
        <v>65.599999999999994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IFERROR(__xludf.DUMMYFUNCTION("IMPORTRANGE(""https://docs.google.com/spreadsheets/d/1XWAQStnk-4SwqDmLtmXYiTMKHgktTP8We1SCoS47DrQ/edit?usp=sharing"",""จัดที่ดิน!AK86"")"),2054.54)</f>
        <v>2054.54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IFERROR(__xludf.DUMMYFUNCTION("IMPORTRANGE(""https://docs.google.com/spreadsheets/d/1QqKyyYR6Q21VydFLVH3TRQUabQu_ym0Zz7PgGX0-kHA/edit?usp=sharing"",""แผน!EU86"")"),250)</f>
        <v>250</v>
      </c>
      <c r="J381" s="269">
        <f ca="1">IFERROR(__xludf.DUMMYFUNCTION("IMPORTRANGE(""https://docs.google.com/spreadsheets/d/1XWAQStnk-4SwqDmLtmXYiTMKHgktTP8We1SCoS47DrQ/edit?usp=sharing"",""จัดที่ดิน!AL86"")"),92)</f>
        <v>92</v>
      </c>
      <c r="K381" s="497">
        <f t="shared" ca="1" si="164"/>
        <v>36.799999999999997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IFERROR(__xludf.DUMMYFUNCTION("IMPORTRANGE(""https://docs.google.com/spreadsheets/d/1XWAQStnk-4SwqDmLtmXYiTMKHgktTP8We1SCoS47DrQ/edit?usp=sharing"",""จัดที่ดิน!AM86"")"),1022.94)</f>
        <v>1022.94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IFERROR(__xludf.DUMMYFUNCTION("IMPORTRANGE(""https://docs.google.com/spreadsheets/d/1QqKyyYR6Q21VydFLVH3TRQUabQu_ym0Zz7PgGX0-kHA/edit?usp=sharing"",""แผน!EW86"")"),20)</f>
        <v>20</v>
      </c>
      <c r="J385" s="500">
        <f ca="1">IFERROR(__xludf.DUMMYFUNCTION("IMPORTRANGE(""https://docs.google.com/spreadsheets/d/1XWAQStnk-4SwqDmLtmXYiTMKHgktTP8We1SCoS47DrQ/edit?usp=sharing"",""จัดที่ดิน!AP86"")"),0)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1763013</v>
      </c>
      <c r="M414" s="548">
        <f t="shared" si="181"/>
        <v>0</v>
      </c>
      <c r="N414" s="548">
        <f t="shared" si="181"/>
        <v>247648</v>
      </c>
      <c r="O414" s="548">
        <f ca="1">IF(L414&gt;0,N414*100/L414,0)</f>
        <v>14.046861821211754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7220</v>
      </c>
      <c r="O419" s="155">
        <f t="shared" ref="O419:O424" ca="1" si="185">IF(L419&gt;0,N419*100/L419,0)</f>
        <v>9.1787439613526569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7220</v>
      </c>
      <c r="O421" s="93">
        <f t="shared" ca="1" si="185"/>
        <v>9.1787439613526569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7220</v>
      </c>
      <c r="O422" s="497">
        <f t="shared" ca="1" si="185"/>
        <v>9.1787439613526569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v>0</v>
      </c>
      <c r="N424" s="93">
        <f>N425+N426+N427+N428</f>
        <v>7220</v>
      </c>
      <c r="O424" s="93">
        <f t="shared" ca="1" si="185"/>
        <v>9.1787439613526569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/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7220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IFERROR(__xludf.DUMMYFUNCTION("IMPORTRANGE(""https://docs.google.com/spreadsheets/d/1QqKyyYR6Q21VydFLVH3TRQUabQu_ym0Zz7PgGX0-kHA/edit?usp=sharing"",""แผน!FC86"")"),20)</f>
        <v>20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IFERROR(__xludf.DUMMYFUNCTION("IMPORTRANGE(""https://docs.google.com/spreadsheets/d/1QqKyyYR6Q21VydFLVH3TRQUabQu_ym0Zz7PgGX0-kHA/edit?usp=sharing"",""แผน!FD86"")"),0)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IFERROR(__xludf.DUMMYFUNCTION("IMPORTRANGE(""https://docs.google.com/spreadsheets/d/1QqKyyYR6Q21VydFLVH3TRQUabQu_ym0Zz7PgGX0-kHA/edit?usp=sharing"",""แผน!FE86"")"),0)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IFERROR(__xludf.DUMMYFUNCTION("IMPORTRANGE(""https://docs.google.com/spreadsheets/d/1QqKyyYR6Q21VydFLVH3TRQUabQu_ym0Zz7PgGX0-kHA/edit?usp=sharing"",""แผน!FF86"")"),20)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IFERROR(__xludf.DUMMYFUNCTION("IMPORTRANGE(""https://docs.google.com/spreadsheets/d/1QqKyyYR6Q21VydFLVH3TRQUabQu_ym0Zz7PgGX0-kHA/edit?usp=sharing"",""แผน!FG86"")"),1)</f>
        <v>1</v>
      </c>
      <c r="J440" s="214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IFERROR(__xludf.DUMMYFUNCTION("IMPORTRANGE(""https://docs.google.com/spreadsheets/d/1QqKyyYR6Q21VydFLVH3TRQUabQu_ym0Zz7PgGX0-kHA/edit?usp=sharing"",""แผน!FH86"")"),0)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60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280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555600</v>
      </c>
      <c r="M444" s="195">
        <f t="shared" si="197"/>
        <v>0</v>
      </c>
      <c r="N444" s="195">
        <f t="shared" si="197"/>
        <v>34440</v>
      </c>
      <c r="O444" s="195">
        <f t="shared" ref="O444:O449" ca="1" si="198">IF(L444&gt;0,N444*100/L444,0)</f>
        <v>6.1987041036717061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555600</v>
      </c>
      <c r="M446" s="93">
        <f t="shared" si="200"/>
        <v>0</v>
      </c>
      <c r="N446" s="93">
        <f t="shared" si="200"/>
        <v>34440</v>
      </c>
      <c r="O446" s="93">
        <f t="shared" ca="1" si="198"/>
        <v>6.1987041036717061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555600</v>
      </c>
      <c r="M447" s="497">
        <f t="shared" si="201"/>
        <v>0</v>
      </c>
      <c r="N447" s="497">
        <f t="shared" si="201"/>
        <v>34440</v>
      </c>
      <c r="O447" s="497">
        <f t="shared" ca="1" si="198"/>
        <v>6.1987041036717061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v>0</v>
      </c>
      <c r="N449" s="93">
        <f>N450+N451+N452+N453</f>
        <v>34440</v>
      </c>
      <c r="O449" s="93">
        <f t="shared" ca="1" si="198"/>
        <v>6.1987041036717061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/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26000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8440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IFERROR(__xludf.DUMMYFUNCTION("IMPORTRANGE(""https://docs.google.com/spreadsheets/d/1QqKyyYR6Q21VydFLVH3TRQUabQu_ym0Zz7PgGX0-kHA/edit?usp=sharing"",""แผน!FN86"")"),60)</f>
        <v>60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IFERROR(__xludf.DUMMYFUNCTION("IMPORTRANGE(""https://docs.google.com/spreadsheets/d/1QqKyyYR6Q21VydFLVH3TRQUabQu_ym0Zz7PgGX0-kHA/edit?usp=sharing"",""แผน!FO86"")"),280)</f>
        <v>280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IFERROR(__xludf.DUMMYFUNCTION("IMPORTRANGE(""https://docs.google.com/spreadsheets/d/1QqKyyYR6Q21VydFLVH3TRQUabQu_ym0Zz7PgGX0-kHA/edit?usp=sharing"",""แผน!FO86"")"),280)</f>
        <v>280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IFERROR(__xludf.DUMMYFUNCTION("IMPORTRANGE(""https://docs.google.com/spreadsheets/d/1QqKyyYR6Q21VydFLVH3TRQUabQu_ym0Zz7PgGX0-kHA/edit?usp=sharing"",""แผน!FN86"")"),60)</f>
        <v>60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IFERROR(__xludf.DUMMYFUNCTION("IMPORTRANGE(""https://docs.google.com/spreadsheets/d/1QqKyyYR6Q21VydFLVH3TRQUabQu_ym0Zz7PgGX0-kHA/edit?usp=sharing"",""แผน!FX86"")"),21)</f>
        <v>21</v>
      </c>
      <c r="J465" s="584">
        <f>J485+J489+J492</f>
        <v>21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IFERROR(__xludf.DUMMYFUNCTION("IMPORTRANGE(""https://docs.google.com/spreadsheets/d/1QqKyyYR6Q21VydFLVH3TRQUabQu_ym0Zz7PgGX0-kHA/edit?usp=sharing"",""แผน!FW86"")"),200)</f>
        <v>200</v>
      </c>
      <c r="J466" s="564">
        <f>J483+J487</f>
        <v>206</v>
      </c>
      <c r="K466" s="565">
        <f t="shared" ca="1" si="205"/>
        <v>103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174403</v>
      </c>
      <c r="M467" s="195">
        <f t="shared" si="206"/>
        <v>0</v>
      </c>
      <c r="N467" s="195">
        <f t="shared" si="206"/>
        <v>47480</v>
      </c>
      <c r="O467" s="195">
        <f t="shared" ref="O467:O472" ca="1" si="207">IF(L467&gt;0,N467*100/L467,0)</f>
        <v>27.224302334248836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174403</v>
      </c>
      <c r="M469" s="93">
        <f t="shared" si="209"/>
        <v>0</v>
      </c>
      <c r="N469" s="93">
        <f t="shared" si="209"/>
        <v>47480</v>
      </c>
      <c r="O469" s="93">
        <f t="shared" ca="1" si="207"/>
        <v>27.224302334248836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174403</v>
      </c>
      <c r="M470" s="497">
        <f t="shared" si="210"/>
        <v>0</v>
      </c>
      <c r="N470" s="497">
        <f t="shared" si="210"/>
        <v>47480</v>
      </c>
      <c r="O470" s="497">
        <f t="shared" ca="1" si="207"/>
        <v>27.224302334248836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IFERROR(__xludf.DUMMYFUNCTION("IMPORTRANGE(""https://docs.google.com/spreadsheets/d/1QqKyyYR6Q21VydFLVH3TRQUabQu_ym0Zz7PgGX0-kHA/edit?usp=sharing"",""แผน!FS86"")"),174403)</f>
        <v>174403</v>
      </c>
      <c r="M472" s="93">
        <v>0</v>
      </c>
      <c r="N472" s="93">
        <f>N473+N474+N475+N476</f>
        <v>47480</v>
      </c>
      <c r="O472" s="93">
        <f t="shared" ca="1" si="207"/>
        <v>27.224302334248836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38950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8530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IFERROR(__xludf.DUMMYFUNCTION("IMPORTRANGE(""https://docs.google.com/spreadsheets/d/1QqKyyYR6Q21VydFLVH3TRQUabQu_ym0Zz7PgGX0-kHA/edit?usp=sharing"",""แผน!FY86"")"),180)</f>
        <v>180</v>
      </c>
      <c r="J483" s="214">
        <v>183</v>
      </c>
      <c r="K483" s="497">
        <f ca="1">IF(I483&gt;0,J483*100/I483,0)</f>
        <v>101.66666666666667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22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IFERROR(__xludf.DUMMYFUNCTION("IMPORTRANGE(""https://docs.google.com/spreadsheets/d/1QqKyyYR6Q21VydFLVH3TRQUabQu_ym0Zz7PgGX0-kHA/edit?usp=sharing"",""แผน!FZ86"")"),18)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IFERROR(__xludf.DUMMYFUNCTION("IMPORTRANGE(""https://docs.google.com/spreadsheets/d/1QqKyyYR6Q21VydFLVH3TRQUabQu_ym0Zz7PgGX0-kHA/edit?usp=sharing"",""แผน!GA86"")"),20)</f>
        <v>20</v>
      </c>
      <c r="J487" s="214">
        <v>23</v>
      </c>
      <c r="K487" s="497">
        <f ca="1">IF(I487&gt;0,J487*100/I487,0)</f>
        <v>115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2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IFERROR(__xludf.DUMMYFUNCTION("IMPORTRANGE(""https://docs.google.com/spreadsheets/d/1QqKyyYR6Q21VydFLVH3TRQUabQu_ym0Zz7PgGX0-kHA/edit?usp=sharing"",""แผน!GB86"")"),2)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IFERROR(__xludf.DUMMYFUNCTION("IMPORTRANGE(""https://docs.google.com/spreadsheets/d/1QqKyyYR6Q21VydFLVH3TRQUabQu_ym0Zz7PgGX0-kHA/edit?usp=sharing"",""แผน!GC86"")"),1)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IFERROR(__xludf.DUMMYFUNCTION("IMPORTRANGE(""https://docs.google.com/spreadsheets/d/1QqKyyYR6Q21VydFLVH3TRQUabQu_ym0Zz7PgGX0-kHA/edit?usp=sharing"",""แผน!FY86"")"),180)</f>
        <v>180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IFERROR(__xludf.DUMMYFUNCTION("IMPORTRANGE(""https://docs.google.com/spreadsheets/d/1QqKyyYR6Q21VydFLVH3TRQUabQu_ym0Zz7PgGX0-kHA/edit?usp=sharing"",""แผน!GA86"")"),20)</f>
        <v>20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30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288960</v>
      </c>
      <c r="M523" s="195">
        <f t="shared" si="226"/>
        <v>0</v>
      </c>
      <c r="N523" s="195">
        <f t="shared" si="226"/>
        <v>32660</v>
      </c>
      <c r="O523" s="195">
        <f t="shared" ref="O523:O528" ca="1" si="227">IF(L523&gt;0,N523*100/L523,0)</f>
        <v>11.302602436323367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288960</v>
      </c>
      <c r="M525" s="93">
        <f t="shared" si="229"/>
        <v>0</v>
      </c>
      <c r="N525" s="93">
        <f t="shared" si="229"/>
        <v>32660</v>
      </c>
      <c r="O525" s="93">
        <f t="shared" ca="1" si="227"/>
        <v>11.302602436323367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288960</v>
      </c>
      <c r="M526" s="497">
        <f t="shared" si="230"/>
        <v>0</v>
      </c>
      <c r="N526" s="497">
        <f t="shared" si="230"/>
        <v>32660</v>
      </c>
      <c r="O526" s="497">
        <f t="shared" ca="1" si="227"/>
        <v>11.302602436323367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v>0</v>
      </c>
      <c r="N528" s="93">
        <f>N529+N530+N531+N532</f>
        <v>32660</v>
      </c>
      <c r="O528" s="93">
        <f t="shared" ca="1" si="227"/>
        <v>11.302602436323367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20180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12480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IFERROR(__xludf.DUMMYFUNCTION("IMPORTRANGE(""https://docs.google.com/spreadsheets/d/1QqKyyYR6Q21VydFLVH3TRQUabQu_ym0Zz7PgGX0-kHA/edit?usp=sharing"",""แผน!GU86"")"),30)</f>
        <v>30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IFERROR(__xludf.DUMMYFUNCTION("IMPORTRANGE(""https://docs.google.com/spreadsheets/d/1QqKyyYR6Q21VydFLVH3TRQUabQu_ym0Zz7PgGX0-kHA/edit?usp=sharing"",""แผน!GV86"")"),30)</f>
        <v>30</v>
      </c>
      <c r="J538" s="214">
        <v>30</v>
      </c>
      <c r="K538" s="497">
        <f t="shared" ca="1" si="234"/>
        <v>100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IFERROR(__xludf.DUMMYFUNCTION("IMPORTRANGE(""https://docs.google.com/spreadsheets/d/1QqKyyYR6Q21VydFLVH3TRQUabQu_ym0Zz7PgGX0-kHA/edit?usp=sharing"",""แผน!GW86"")"),30)</f>
        <v>30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IFERROR(__xludf.DUMMYFUNCTION("IMPORTRANGE(""https://docs.google.com/spreadsheets/d/1QqKyyYR6Q21VydFLVH3TRQUabQu_ym0Zz7PgGX0-kHA/edit?usp=sharing"",""แผน!GX86"")"),30)</f>
        <v>30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IFERROR(__xludf.DUMMYFUNCTION("IMPORTRANGE(""https://docs.google.com/spreadsheets/d/1QqKyyYR6Q21VydFLVH3TRQUabQu_ym0Zz7PgGX0-kHA/edit?usp=sharing"",""แผน!GY86"")"),0)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IFERROR(__xludf.DUMMYFUNCTION("IMPORTRANGE(""https://docs.google.com/spreadsheets/d/1QqKyyYR6Q21VydFLVH3TRQUabQu_ym0Zz7PgGX0-kHA/edit?usp=sharing"",""แผน!GZ86"")"),30)</f>
        <v>30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32464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284535</v>
      </c>
      <c r="M544" s="155">
        <f t="shared" si="236"/>
        <v>0</v>
      </c>
      <c r="N544" s="155">
        <f t="shared" si="236"/>
        <v>60488</v>
      </c>
      <c r="O544" s="155">
        <f t="shared" ref="O544:O549" ca="1" si="237">IF(L544&gt;0,N544*100/L544,0)</f>
        <v>21.258544643014041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284535</v>
      </c>
      <c r="M546" s="93">
        <f t="shared" si="240"/>
        <v>0</v>
      </c>
      <c r="N546" s="93">
        <f t="shared" si="240"/>
        <v>60488</v>
      </c>
      <c r="O546" s="93">
        <f t="shared" ca="1" si="237"/>
        <v>21.258544643014041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284535</v>
      </c>
      <c r="M547" s="497">
        <f t="shared" si="241"/>
        <v>0</v>
      </c>
      <c r="N547" s="497">
        <f t="shared" si="241"/>
        <v>60488</v>
      </c>
      <c r="O547" s="497">
        <f t="shared" ca="1" si="237"/>
        <v>21.258544643014041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IFERROR(__xludf.DUMMYFUNCTION("IMPORTRANGE(""https://docs.google.com/spreadsheets/d/1QqKyyYR6Q21VydFLVH3TRQUabQu_ym0Zz7PgGX0-kHA/edit?usp=sharing"",""แผน!HB86"")"),284535)</f>
        <v>284535</v>
      </c>
      <c r="M549" s="93">
        <v>0</v>
      </c>
      <c r="N549" s="93">
        <f>N550+N551+N552+N553+N554</f>
        <v>60488</v>
      </c>
      <c r="O549" s="93">
        <f t="shared" ca="1" si="237"/>
        <v>21.258544643014041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26000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34488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32464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5625</v>
      </c>
      <c r="K560" s="411">
        <f t="shared" ca="1" si="246"/>
        <v>17.326885165105963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651</v>
      </c>
      <c r="K561" s="411">
        <f t="shared" ca="1" si="246"/>
        <v>15.975460122699387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5450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623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66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11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109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17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414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IFERROR(__xludf.DUMMYFUNCTION("IMPORTRANGE(""https://docs.google.com/spreadsheets/d/1QqKyyYR6Q21VydFLVH3TRQUabQu_ym0Zz7PgGX0-kHA/edit?usp=sharing"",""แผน!HJ86"")"),414)</f>
        <v>414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IFERROR(__xludf.DUMMYFUNCTION("IMPORTRANGE(""https://docs.google.com/spreadsheets/d/1QqKyyYR6Q21VydFLVH3TRQUabQu_ym0Zz7PgGX0-kHA/edit?usp=sharing"",""แผน!HL86"")"),0)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IFERROR(__xludf.DUMMYFUNCTION("IMPORTRANGE(""https://docs.google.com/spreadsheets/d/1QqKyyYR6Q21VydFLVH3TRQUabQu_ym0Zz7PgGX0-kHA/edit?usp=sharing"",""แผน!HK86"")"),0)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100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368255</v>
      </c>
      <c r="M629" s="195">
        <f t="shared" si="263"/>
        <v>0</v>
      </c>
      <c r="N629" s="195">
        <f t="shared" si="263"/>
        <v>59260</v>
      </c>
      <c r="O629" s="195">
        <f t="shared" ref="O629:O634" ca="1" si="264">IF(L629&gt;0,N629*100/L629,0)</f>
        <v>16.092110086760531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368255</v>
      </c>
      <c r="M631" s="93">
        <f t="shared" si="266"/>
        <v>0</v>
      </c>
      <c r="N631" s="93">
        <f t="shared" si="266"/>
        <v>59260</v>
      </c>
      <c r="O631" s="93">
        <f t="shared" ca="1" si="264"/>
        <v>16.092110086760531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368255</v>
      </c>
      <c r="M632" s="497">
        <f t="shared" si="267"/>
        <v>0</v>
      </c>
      <c r="N632" s="497">
        <f t="shared" si="267"/>
        <v>59260</v>
      </c>
      <c r="O632" s="497">
        <f t="shared" ca="1" si="264"/>
        <v>16.092110086760531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v>0</v>
      </c>
      <c r="N634" s="93">
        <f>N635+N636+N637+N638</f>
        <v>59260</v>
      </c>
      <c r="O634" s="93">
        <f t="shared" ca="1" si="264"/>
        <v>16.092110086760531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26000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33260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IFERROR(__xludf.DUMMYFUNCTION("IMPORTRANGE(""https://docs.google.com/spreadsheets/d/1QqKyyYR6Q21VydFLVH3TRQUabQu_ym0Zz7PgGX0-kHA/edit?usp=sharing"",""แผน!HR86"")"),0)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IFERROR(__xludf.DUMMYFUNCTION("IMPORTRANGE(""https://docs.google.com/spreadsheets/d/1QqKyyYR6Q21VydFLVH3TRQUabQu_ym0Zz7PgGX0-kHA/edit?usp=sharing"",""แผน!HR86"")"),0)</f>
        <v>0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IFERROR(__xludf.DUMMYFUNCTION("IMPORTRANGE(""https://docs.google.com/spreadsheets/d/1XWAQStnk-4SwqDmLtmXYiTMKHgktTP8We1SCoS47DrQ/edit?usp=sharing"",""จัดที่ดิน!AT86"")"),0)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IFERROR(__xludf.DUMMYFUNCTION("IMPORTRANGE(""https://docs.google.com/spreadsheets/d/1QqKyyYR6Q21VydFLVH3TRQUabQu_ym0Zz7PgGX0-kHA/edit?usp=sharing"",""แผน!HS86"")"),100)</f>
        <v>100</v>
      </c>
      <c r="J647" s="269">
        <f ca="1">IFERROR(__xludf.DUMMYFUNCTION("IMPORTRANGE(""https://docs.google.com/spreadsheets/d/1XWAQStnk-4SwqDmLtmXYiTMKHgktTP8We1SCoS47DrQ/edit?usp=sharing"",""จัดที่ดิน!AU86"")"),34)</f>
        <v>34</v>
      </c>
      <c r="K647" s="163">
        <f t="shared" ca="1" si="271"/>
        <v>34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IFERROR(__xludf.DUMMYFUNCTION("IMPORTRANGE(""https://docs.google.com/spreadsheets/d/1XWAQStnk-4SwqDmLtmXYiTMKHgktTP8We1SCoS47DrQ/edit?usp=sharing"",""จัดที่ดิน!AV86"")"),8.65)</f>
        <v>8.65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IFERROR(__xludf.DUMMYFUNCTION("IMPORTRANGE(""https://docs.google.com/spreadsheets/d/1QqKyyYR6Q21VydFLVH3TRQUabQu_ym0Zz7PgGX0-kHA/edit?usp=sharing"",""แผน!HS86"")"),100)</f>
        <v>100</v>
      </c>
      <c r="J649" s="269">
        <f ca="1">IFERROR(__xludf.DUMMYFUNCTION("IMPORTRANGE(""https://docs.google.com/spreadsheets/d/1XWAQStnk-4SwqDmLtmXYiTMKHgktTP8We1SCoS47DrQ/edit?usp=sharing"",""จัดที่ดิน!AW86"")"),0)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IFERROR(__xludf.DUMMYFUNCTION("IMPORTRANGE(""https://docs.google.com/spreadsheets/d/1QqKyyYR6Q21VydFLVH3TRQUabQu_ym0Zz7PgGX0-kHA/edit?usp=sharing"",""แผน!HS86"")"),100)</f>
        <v>100</v>
      </c>
      <c r="J651" s="269">
        <f ca="1">IFERROR(__xludf.DUMMYFUNCTION("IMPORTRANGE(""https://docs.google.com/spreadsheets/d/1XWAQStnk-4SwqDmLtmXYiTMKHgktTP8We1SCoS47DrQ/edit?usp=sharing"",""จัดที่ดิน!AY86"")"),0)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IFERROR(__xludf.DUMMYFUNCTION("IMPORTRANGE(""https://docs.google.com/spreadsheets/d/1XWAQStnk-4SwqDmLtmXYiTMKHgktTP8We1SCoS47DrQ/edit?usp=sharing"",""จัดที่ดิน!AZ86"")"),0)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50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12600</v>
      </c>
      <c r="M655" s="195">
        <f t="shared" si="273"/>
        <v>0</v>
      </c>
      <c r="N655" s="195">
        <f t="shared" si="273"/>
        <v>6100</v>
      </c>
      <c r="O655" s="195">
        <f t="shared" ref="O655:O660" ca="1" si="274">IF(L655&gt;0,N655*100/L655,0)</f>
        <v>48.412698412698411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12600</v>
      </c>
      <c r="M657" s="93">
        <f t="shared" si="276"/>
        <v>0</v>
      </c>
      <c r="N657" s="93">
        <f t="shared" si="276"/>
        <v>6100</v>
      </c>
      <c r="O657" s="93">
        <f t="shared" ca="1" si="274"/>
        <v>48.412698412698411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12600</v>
      </c>
      <c r="M658" s="497">
        <f t="shared" si="277"/>
        <v>0</v>
      </c>
      <c r="N658" s="497">
        <f t="shared" si="277"/>
        <v>6100</v>
      </c>
      <c r="O658" s="497">
        <f t="shared" ca="1" si="274"/>
        <v>48.412698412698411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v>0</v>
      </c>
      <c r="N660" s="93">
        <f>N661+N662+N663+N664</f>
        <v>6100</v>
      </c>
      <c r="O660" s="93">
        <f t="shared" ca="1" si="274"/>
        <v>48.412698412698411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6100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IFERROR(__xludf.DUMMYFUNCTION("IMPORTRANGE(""https://docs.google.com/spreadsheets/d/1QqKyyYR6Q21VydFLVH3TRQUabQu_ym0Zz7PgGX0-kHA/edit?usp=sharing"",""แผน!IA86"")"),50)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IFERROR(__xludf.DUMMYFUNCTION("IMPORTRANGE(""https://docs.google.com/spreadsheets/d/1QqKyyYR6Q21VydFLVH3TRQUabQu_ym0Zz7PgGX0-kHA/edit?usp=sharing"",""แผน!HZ86"")"),6)</f>
        <v>6</v>
      </c>
      <c r="J670" s="214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IFERROR(__xludf.DUMMYFUNCTION("IMPORTRANGE(""https://docs.google.com/spreadsheets/d/1QqKyyYR6Q21VydFLVH3TRQUabQu_ym0Zz7PgGX0-kHA/edit?usp=sharing"",""แผน!HZ86"")"),6)</f>
        <v>6</v>
      </c>
      <c r="J671" s="214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IFERROR(__xludf.DUMMYFUNCTION("IMPORTRANGE(""https://docs.google.com/spreadsheets/d/1QqKyyYR6Q21VydFLVH3TRQUabQu_ym0Zz7PgGX0-kHA/edit?usp=sharing"",""แผน!IB86"")"),0)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IFERROR(__xludf.DUMMYFUNCTION("IMPORTRANGE(""https://docs.google.com/spreadsheets/d/1QqKyyYR6Q21VydFLVH3TRQUabQu_ym0Zz7PgGX0-kHA/edit?usp=sharing"",""แผน!IC86"")"),0)</f>
        <v>0</v>
      </c>
      <c r="J699" s="269">
        <f ca="1">IFERROR(__xludf.DUMMYFUNCTION("IMPORTRANGE(""https://docs.google.com/spreadsheets/d/1XWAQStnk-4SwqDmLtmXYiTMKHgktTP8We1SCoS47DrQ/edit?usp=sharing"",""จัดที่ดิน!BB86"")"),0)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IFERROR(__xludf.DUMMYFUNCTION("IMPORTRANGE(""https://docs.google.com/spreadsheets/d/1QqKyyYR6Q21VydFLVH3TRQUabQu_ym0Zz7PgGX0-kHA/edit?usp=sharing"",""แผน!ID86"")"),0)</f>
        <v>0</v>
      </c>
      <c r="J700" s="269">
        <f ca="1">IFERROR(__xludf.DUMMYFUNCTION("IMPORTRANGE(""https://docs.google.com/spreadsheets/d/1XWAQStnk-4SwqDmLtmXYiTMKHgktTP8We1SCoS47DrQ/edit?usp=sharing"",""จัดที่ดิน!BD86"")"),0)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IFERROR(__xludf.DUMMYFUNCTION("IMPORTRANGE(""https://docs.google.com/spreadsheets/d/1QqKyyYR6Q21VydFLVH3TRQUabQu_ym0Zz7PgGX0-kHA/edit?usp=sharing"",""แผน!IE86"")"),0)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IFERROR(__xludf.DUMMYFUNCTION("IMPORTRANGE(""https://docs.google.com/spreadsheets/d/1QqKyyYR6Q21VydFLVH3TRQUabQu_ym0Zz7PgGX0-kHA/edit?usp=sharing"",""แผน!IF86"")"),0)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IFERROR(__xludf.DUMMYFUNCTION("IMPORTRANGE(""https://docs.google.com/spreadsheets/d/1QqKyyYR6Q21VydFLVH3TRQUabQu_ym0Zz7PgGX0-kHA/edit?usp=sharing"",""แผน!IG86"")"),0)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IFERROR(__xludf.DUMMYFUNCTION("IMPORTRANGE(""https://docs.google.com/spreadsheets/d/1QqKyyYR6Q21VydFLVH3TRQUabQu_ym0Zz7PgGX0-kHA/edit?usp=sharing"",""แผน!IH86"")"),0)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IFERROR(__xludf.DUMMYFUNCTION("IMPORTRANGE(""https://docs.google.com/spreadsheets/d/1XWAQStnk-4SwqDmLtmXYiTMKHgktTP8We1SCoS47DrQ/edit?usp=sharing"",""จัดที่ดิน!BF86"")"),0)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IFERROR(__xludf.DUMMYFUNCTION("IMPORTRANGE(""https://docs.google.com/spreadsheets/d/1XWAQStnk-4SwqDmLtmXYiTMKHgktTP8We1SCoS47DrQ/edit?usp=sharing"",""จัดที่ดิน!BG86"")"),0)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IFERROR(__xludf.DUMMYFUNCTION("IMPORTRANGE(""https://docs.google.com/spreadsheets/d/1QqKyyYR6Q21VydFLVH3TRQUabQu_ym0Zz7PgGX0-kHA/edit?usp=sharing"",""แผน!II86"")"),0)</f>
        <v>0</v>
      </c>
      <c r="J720" s="269">
        <f ca="1">IFERROR(__xludf.DUMMYFUNCTION("IMPORTRANGE(""https://docs.google.com/spreadsheets/d/1XWAQStnk-4SwqDmLtmXYiTMKHgktTP8We1SCoS47DrQ/edit?usp=sharing"",""จัดที่ดิน!BH86"")"),0)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IFERROR(__xludf.DUMMYFUNCTION("IMPORTRANGE(""https://docs.google.com/spreadsheets/d/1QqKyyYR6Q21VydFLVH3TRQUabQu_ym0Zz7PgGX0-kHA/edit?usp=sharing"",""แผน!IJ86"")"),0)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IFERROR(__xludf.DUMMYFUNCTION("IMPORTRANGE(""https://docs.google.com/spreadsheets/d/1QqKyyYR6Q21VydFLVH3TRQUabQu_ym0Zz7PgGX0-kHA/edit?usp=sharing"",""แผน!IK86"")"),0)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IFERROR(__xludf.DUMMYFUNCTION("IMPORTRANGE(""https://docs.google.com/spreadsheets/d/1QqKyyYR6Q21VydFLVH3TRQUabQu_ym0Zz7PgGX0-kHA/edit?usp=sharing"",""แผน!IL86"")"),0)</f>
        <v>0</v>
      </c>
      <c r="J723" s="269">
        <f ca="1">IFERROR(__xludf.DUMMYFUNCTION("IMPORTRANGE(""https://docs.google.com/spreadsheets/d/1XWAQStnk-4SwqDmLtmXYiTMKHgktTP8We1SCoS47DrQ/edit?usp=sharing"",""จัดที่ดิน!BM86"")"),0)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IFERROR(__xludf.DUMMYFUNCTION("IMPORTRANGE(""https://docs.google.com/spreadsheets/d/1XWAQStnk-4SwqDmLtmXYiTMKHgktTP8We1SCoS47DrQ/edit?usp=sharing"",""จัดที่ดิน!BN86"")"),0)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IFERROR(__xludf.DUMMYFUNCTION("IMPORTRANGE(""https://docs.google.com/spreadsheets/d/1QqKyyYR6Q21VydFLVH3TRQUabQu_ym0Zz7PgGX0-kHA/edit?usp=sharing"",""แผน!IM86"")"),0)</f>
        <v>0</v>
      </c>
      <c r="J725" s="269">
        <f ca="1">IFERROR(__xludf.DUMMYFUNCTION("IMPORTRANGE(""https://docs.google.com/spreadsheets/d/1XWAQStnk-4SwqDmLtmXYiTMKHgktTP8We1SCoS47DrQ/edit?usp=sharing"",""จัดที่ดิน!BO86"")"),0)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IFERROR(__xludf.DUMMYFUNCTION("IMPORTRANGE(""https://docs.google.com/spreadsheets/d/1QqKyyYR6Q21VydFLVH3TRQUabQu_ym0Zz7PgGX0-kHA/edit?usp=sharing"",""แผน!IN86"")"),0)</f>
        <v>0</v>
      </c>
      <c r="J726" s="269">
        <f ca="1">IFERROR(__xludf.DUMMYFUNCTION("IMPORTRANGE(""https://docs.google.com/spreadsheets/d/1XWAQStnk-4SwqDmLtmXYiTMKHgktTP8We1SCoS47DrQ/edit?usp=sharing"",""จัดที่ดิน!BR86"")"),0)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IFERROR(__xludf.DUMMYFUNCTION("IMPORTRANGE(""https://docs.google.com/spreadsheets/d/1XWAQStnk-4SwqDmLtmXYiTMKHgktTP8We1SCoS47DrQ/edit?usp=sharing"",""จัดที่ดิน!BS86"")"),0)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IFERROR(__xludf.DUMMYFUNCTION("IMPORTRANGE(""https://docs.google.com/spreadsheets/d/1QqKyyYR6Q21VydFLVH3TRQUabQu_ym0Zz7PgGX0-kHA/edit?usp=sharing"",""แผน!IO86"")"),0)</f>
        <v>0</v>
      </c>
      <c r="J728" s="269">
        <f ca="1">IFERROR(__xludf.DUMMYFUNCTION("IMPORTRANGE(""https://docs.google.com/spreadsheets/d/1XWAQStnk-4SwqDmLtmXYiTMKHgktTP8We1SCoS47DrQ/edit?usp=sharing"",""จัดที่ดิน!BT86"")"),0)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IFERROR(__xludf.DUMMYFUNCTION("IMPORTRANGE(""https://docs.google.com/spreadsheets/d/1QqKyyYR6Q21VydFLVH3TRQUabQu_ym0Zz7PgGX0-kHA/edit?usp=sharing"",""แผน!IP86"")"),0)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IFERROR(__xludf.DUMMYFUNCTION("IMPORTRANGE(""https://docs.google.com/spreadsheets/d/1MaWodYyGHDf7siQLGxnXhG4mBNTNIuy296niS2xXulU/edit?usp=sharing"",""RTK!I86"")"),0)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345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IFERROR(__xludf.DUMMYFUNCTION("IMPORTRANGE(""https://docs.google.com/spreadsheets/d/19vJNZY_5yjcGF2XGBMNZRCAIB0Kwfpjp8YEOfu-bneM/edit?usp=sharing"",""งานกองทุน!D86"")"),3929713.05)</f>
        <v>3929713.05</v>
      </c>
      <c r="J821" s="269">
        <f ca="1">IFERROR(__xludf.DUMMYFUNCTION("IMPORTRANGE(""https://docs.google.com/spreadsheets/d/19vJNZY_5yjcGF2XGBMNZRCAIB0Kwfpjp8YEOfu-bneM/edit?usp=sharing"",""งานกองทุน!F86"")"),0)</f>
        <v>0</v>
      </c>
      <c r="K821" s="497">
        <f t="shared" ref="K821:K828" ca="1" si="335">IF(I821&gt;0,J821*100/I821,0)</f>
        <v>0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IFERROR(__xludf.DUMMYFUNCTION("IMPORTRANGE(""https://docs.google.com/spreadsheets/d/19vJNZY_5yjcGF2XGBMNZRCAIB0Kwfpjp8YEOfu-bneM/edit?usp=sharing"",""งานกองทุน!C86"")"),277)</f>
        <v>277</v>
      </c>
      <c r="J822" s="269">
        <f ca="1">IFERROR(__xludf.DUMMYFUNCTION("IMPORTRANGE(""https://docs.google.com/spreadsheets/d/19vJNZY_5yjcGF2XGBMNZRCAIB0Kwfpjp8YEOfu-bneM/edit?usp=sharing"",""งานกองทุน!E86"")"),0)</f>
        <v>0</v>
      </c>
      <c r="K822" s="497">
        <f t="shared" ca="1" si="335"/>
        <v>0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IFERROR(__xludf.DUMMYFUNCTION("IMPORTRANGE(""https://docs.google.com/spreadsheets/d/19vJNZY_5yjcGF2XGBMNZRCAIB0Kwfpjp8YEOfu-bneM/edit?usp=sharing"",""งานกองทุน!I86"")"),1704316.65)</f>
        <v>1704316.65</v>
      </c>
      <c r="J823" s="269">
        <f ca="1">IFERROR(__xludf.DUMMYFUNCTION("IMPORTRANGE(""https://docs.google.com/spreadsheets/d/19vJNZY_5yjcGF2XGBMNZRCAIB0Kwfpjp8YEOfu-bneM/edit?usp=sharing"",""งานกองทุน!K86"")"),1783.12)</f>
        <v>1783.12</v>
      </c>
      <c r="K823" s="497">
        <f t="shared" ca="1" si="335"/>
        <v>0.10462375052194674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IFERROR(__xludf.DUMMYFUNCTION("IMPORTRANGE(""https://docs.google.com/spreadsheets/d/19vJNZY_5yjcGF2XGBMNZRCAIB0Kwfpjp8YEOfu-bneM/edit?usp=sharing"",""งานกองทุน!H86"")"),68)</f>
        <v>68</v>
      </c>
      <c r="J824" s="269">
        <f ca="1">IFERROR(__xludf.DUMMYFUNCTION("IMPORTRANGE(""https://docs.google.com/spreadsheets/d/19vJNZY_5yjcGF2XGBMNZRCAIB0Kwfpjp8YEOfu-bneM/edit?usp=sharing"",""งานกองทุน!J86"")"),3)</f>
        <v>3</v>
      </c>
      <c r="K824" s="497">
        <f t="shared" ca="1" si="335"/>
        <v>4.4117647058823533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IFERROR(__xludf.DUMMYFUNCTION("IMPORTRANGE(""https://docs.google.com/spreadsheets/d/19vJNZY_5yjcGF2XGBMNZRCAIB0Kwfpjp8YEOfu-bneM/edit?usp=sharing"",""งานกองทุน!N86"")"),0)</f>
        <v>0</v>
      </c>
      <c r="J825" s="269">
        <f ca="1">IFERROR(__xludf.DUMMYFUNCTION("IMPORTRANGE(""https://docs.google.com/spreadsheets/d/19vJNZY_5yjcGF2XGBMNZRCAIB0Kwfpjp8YEOfu-bneM/edit?usp=sharing"",""งานกองทุน!P86"")"),0)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IFERROR(__xludf.DUMMYFUNCTION("IMPORTRANGE(""https://docs.google.com/spreadsheets/d/19vJNZY_5yjcGF2XGBMNZRCAIB0Kwfpjp8YEOfu-bneM/edit?usp=sharing"",""งานกองทุน!M86"")"),0)</f>
        <v>0</v>
      </c>
      <c r="J826" s="269">
        <f ca="1">IFERROR(__xludf.DUMMYFUNCTION("IMPORTRANGE(""https://docs.google.com/spreadsheets/d/19vJNZY_5yjcGF2XGBMNZRCAIB0Kwfpjp8YEOfu-bneM/edit?usp=sharing"",""งานกองทุน!O86"")"),0)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IFERROR(__xludf.DUMMYFUNCTION("IMPORTRANGE(""https://docs.google.com/spreadsheets/d/19vJNZY_5yjcGF2XGBMNZRCAIB0Kwfpjp8YEOfu-bneM/edit?usp=sharing"",""งานกองทุน!S86"")"),1680000)</f>
        <v>1680000</v>
      </c>
      <c r="J827" s="269">
        <f ca="1">IFERROR(__xludf.DUMMYFUNCTION("IMPORTRANGE(""https://docs.google.com/spreadsheets/d/19vJNZY_5yjcGF2XGBMNZRCAIB0Kwfpjp8YEOfu-bneM/edit?usp=sharing"",""งานกองทุน!U86"")"),0)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IFERROR(__xludf.DUMMYFUNCTION("IMPORTRANGE(""https://docs.google.com/spreadsheets/d/19vJNZY_5yjcGF2XGBMNZRCAIB0Kwfpjp8YEOfu-bneM/edit?usp=sharing"",""งานกองทุน!R86"")"),67)</f>
        <v>67</v>
      </c>
      <c r="J828" s="500">
        <f ca="1">IFERROR(__xludf.DUMMYFUNCTION("IMPORTRANGE(""https://docs.google.com/spreadsheets/d/19vJNZY_5yjcGF2XGBMNZRCAIB0Kwfpjp8YEOfu-bneM/edit?usp=sharing"",""งานกองทุน!T86"")"),0)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444EE-5949-4E82-80D3-1AD947A6D06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2" width="21.28515625" bestFit="1" customWidth="1"/>
    <col min="13" max="14" width="18.710937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352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2278156</v>
      </c>
      <c r="M8" s="22">
        <f t="shared" ca="1" si="0"/>
        <v>982110</v>
      </c>
      <c r="N8" s="22">
        <f t="shared" ca="1" si="0"/>
        <v>481632.77</v>
      </c>
      <c r="O8" s="22">
        <f t="shared" ref="O8:O16" ca="1" si="1">IF(L8&gt;0,N8*100/L8,0)</f>
        <v>21.141342822879558</v>
      </c>
      <c r="P8" s="22">
        <f t="shared" ref="P8:P16" ca="1" si="2">IF(M8&gt;0,N8*100/M8,0)</f>
        <v>49.040613576890571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2278156</v>
      </c>
      <c r="M10" s="30">
        <f t="shared" ca="1" si="3"/>
        <v>982110</v>
      </c>
      <c r="N10" s="30">
        <f t="shared" ca="1" si="3"/>
        <v>481632.77</v>
      </c>
      <c r="O10" s="30">
        <f t="shared" ca="1" si="1"/>
        <v>21.141342822879558</v>
      </c>
      <c r="P10" s="30">
        <f t="shared" ca="1" si="2"/>
        <v>49.040613576890571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2202156</v>
      </c>
      <c r="M11" s="497">
        <f t="shared" ca="1" si="4"/>
        <v>906110</v>
      </c>
      <c r="N11" s="497">
        <f t="shared" ca="1" si="4"/>
        <v>405632.77</v>
      </c>
      <c r="O11" s="497">
        <f t="shared" ca="1" si="1"/>
        <v>18.419801776077627</v>
      </c>
      <c r="P11" s="497">
        <f t="shared" ca="1" si="2"/>
        <v>44.76639370495856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2202156</v>
      </c>
      <c r="M13" s="93">
        <f t="shared" ca="1" si="5"/>
        <v>906110</v>
      </c>
      <c r="N13" s="93">
        <f t="shared" ca="1" si="5"/>
        <v>405632.77</v>
      </c>
      <c r="O13" s="93">
        <f t="shared" ca="1" si="1"/>
        <v>18.419801776077627</v>
      </c>
      <c r="P13" s="93">
        <f t="shared" ca="1" si="2"/>
        <v>44.76639370495856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982110</v>
      </c>
      <c r="N18" s="22">
        <f t="shared" ca="1" si="8"/>
        <v>399357.77</v>
      </c>
      <c r="O18" s="22">
        <f t="shared" ref="O18:O26" ca="1" si="9">IF(L18&gt;0,N18*100/L18,0)</f>
        <v>21.365284963005365</v>
      </c>
      <c r="P18" s="22">
        <f t="shared" ref="P18:P26" ca="1" si="10">IF(M18&gt;0,N18*100/M18,0)</f>
        <v>40.663242406655058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982110</v>
      </c>
      <c r="N20" s="30">
        <f t="shared" ca="1" si="11"/>
        <v>399357.77</v>
      </c>
      <c r="O20" s="30">
        <f t="shared" ca="1" si="9"/>
        <v>21.365284963005365</v>
      </c>
      <c r="P20" s="30">
        <f t="shared" ca="1" si="10"/>
        <v>40.663242406655058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1793190</v>
      </c>
      <c r="M21" s="497">
        <f t="shared" ca="1" si="12"/>
        <v>906110</v>
      </c>
      <c r="N21" s="497">
        <f t="shared" ca="1" si="12"/>
        <v>323357.77</v>
      </c>
      <c r="O21" s="497">
        <f t="shared" ca="1" si="9"/>
        <v>18.032543679141643</v>
      </c>
      <c r="P21" s="497">
        <f t="shared" ca="1" si="10"/>
        <v>35.686370308240718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1793190</v>
      </c>
      <c r="M23" s="93">
        <f t="shared" ca="1" si="13"/>
        <v>906110</v>
      </c>
      <c r="N23" s="93">
        <f t="shared" ca="1" si="13"/>
        <v>323357.77</v>
      </c>
      <c r="O23" s="93">
        <f t="shared" ca="1" si="9"/>
        <v>18.032543679141643</v>
      </c>
      <c r="P23" s="93">
        <f t="shared" ca="1" si="10"/>
        <v>35.686370308240718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408966</v>
      </c>
      <c r="M28" s="22">
        <f t="shared" si="16"/>
        <v>0</v>
      </c>
      <c r="N28" s="22">
        <f t="shared" si="16"/>
        <v>82275</v>
      </c>
      <c r="O28" s="22">
        <f t="shared" ref="O28:O37" ca="1" si="17">IF(L28&gt;0,N28*100/L28,0)</f>
        <v>20.117809304440957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408966</v>
      </c>
      <c r="M30" s="30">
        <f t="shared" si="19"/>
        <v>0</v>
      </c>
      <c r="N30" s="30">
        <f t="shared" si="19"/>
        <v>82275</v>
      </c>
      <c r="O30" s="30">
        <f t="shared" ca="1" si="17"/>
        <v>20.117809304440957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408966</v>
      </c>
      <c r="M31" s="497">
        <f t="shared" si="20"/>
        <v>0</v>
      </c>
      <c r="N31" s="497">
        <f t="shared" si="20"/>
        <v>82275</v>
      </c>
      <c r="O31" s="497">
        <f t="shared" ca="1" si="17"/>
        <v>20.117809304440957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408966</v>
      </c>
      <c r="M33" s="93">
        <f t="shared" si="21"/>
        <v>0</v>
      </c>
      <c r="N33" s="93">
        <f t="shared" si="21"/>
        <v>82275</v>
      </c>
      <c r="O33" s="93">
        <f t="shared" ca="1" si="17"/>
        <v>20.117809304440957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1869190</v>
      </c>
      <c r="M37" s="59">
        <f t="shared" ca="1" si="24"/>
        <v>982110</v>
      </c>
      <c r="N37" s="59">
        <f t="shared" ca="1" si="24"/>
        <v>399357.77</v>
      </c>
      <c r="O37" s="59">
        <f t="shared" ca="1" si="17"/>
        <v>21.365284963005365</v>
      </c>
      <c r="P37" s="59">
        <f t="shared" ca="1" si="18"/>
        <v>40.663242406655058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170250</v>
      </c>
      <c r="N41" s="85">
        <f t="shared" ca="1" si="25"/>
        <v>78172</v>
      </c>
      <c r="O41" s="85">
        <f t="shared" ref="O41:O49" ca="1" si="26">IF(L41&gt;0,N41*100/L41,0)</f>
        <v>23.359330643956373</v>
      </c>
      <c r="P41" s="85">
        <f t="shared" ref="P41:P49" ca="1" si="27">IF(M41&gt;0,N41*100/M41,0)</f>
        <v>45.916005873715122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170250</v>
      </c>
      <c r="N43" s="92">
        <f t="shared" ca="1" si="28"/>
        <v>78172</v>
      </c>
      <c r="O43" s="92">
        <f t="shared" ca="1" si="26"/>
        <v>23.359330643956373</v>
      </c>
      <c r="P43" s="92">
        <f t="shared" ca="1" si="27"/>
        <v>45.916005873715122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334650</v>
      </c>
      <c r="M44" s="497">
        <f t="shared" ca="1" si="29"/>
        <v>170250</v>
      </c>
      <c r="N44" s="497">
        <f t="shared" ca="1" si="29"/>
        <v>78172</v>
      </c>
      <c r="O44" s="497">
        <f t="shared" ca="1" si="26"/>
        <v>23.359330643956373</v>
      </c>
      <c r="P44" s="497">
        <f t="shared" ca="1" si="27"/>
        <v>45.916005873715122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IFERROR(__xludf.DUMMYFUNCTION("IMPORTRANGE(""https://docs.google.com/spreadsheets/d/1MeEWN-I1oV_STSDYn1IFDPWt_1FKiwhDph83XaGc0o0/edit?usp=sharing"",""งบพรบ!R87"")"),170250)</f>
        <v>170250</v>
      </c>
      <c r="N46" s="93">
        <f ca="1">IFERROR(__xludf.DUMMYFUNCTION("IMPORTRANGE(""https://docs.google.com/spreadsheets/d/1MeEWN-I1oV_STSDYn1IFDPWt_1FKiwhDph83XaGc0o0/edit?usp=sharing"",""งบพรบ!T87"")"),78172)</f>
        <v>78172</v>
      </c>
      <c r="O46" s="93">
        <f t="shared" ca="1" si="26"/>
        <v>23.359330643956373</v>
      </c>
      <c r="P46" s="93">
        <f t="shared" ca="1" si="27"/>
        <v>45.916005873715122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155250</v>
      </c>
      <c r="N53" s="116">
        <f t="shared" ca="1" si="31"/>
        <v>73635.78</v>
      </c>
      <c r="O53" s="116">
        <f t="shared" ref="O53:O61" ca="1" si="32">IF(L53&gt;0,N53*100/L53,0)</f>
        <v>23.715227053140097</v>
      </c>
      <c r="P53" s="116">
        <f t="shared" ref="P53:P61" ca="1" si="33">IF(M53&gt;0,N53*100/M53,0)</f>
        <v>47.430454106280195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155250</v>
      </c>
      <c r="N55" s="123">
        <f t="shared" ca="1" si="34"/>
        <v>73635.78</v>
      </c>
      <c r="O55" s="123">
        <f t="shared" ca="1" si="32"/>
        <v>23.715227053140097</v>
      </c>
      <c r="P55" s="123">
        <f t="shared" ca="1" si="33"/>
        <v>47.430454106280195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310500</v>
      </c>
      <c r="M56" s="497">
        <f t="shared" ca="1" si="35"/>
        <v>155250</v>
      </c>
      <c r="N56" s="497">
        <f t="shared" ca="1" si="35"/>
        <v>73635.78</v>
      </c>
      <c r="O56" s="497">
        <f t="shared" ca="1" si="32"/>
        <v>23.715227053140097</v>
      </c>
      <c r="P56" s="497">
        <f t="shared" ca="1" si="33"/>
        <v>47.430454106280195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IFERROR(__xludf.DUMMYFUNCTION("IMPORTRANGE(""https://docs.google.com/spreadsheets/d/1MeEWN-I1oV_STSDYn1IFDPWt_1FKiwhDph83XaGc0o0/edit?usp=sharing"",""งบพรบ!AB87"")"),155250)</f>
        <v>155250</v>
      </c>
      <c r="N58" s="93">
        <f ca="1">IFERROR(__xludf.DUMMYFUNCTION("IMPORTRANGE(""https://docs.google.com/spreadsheets/d/1MeEWN-I1oV_STSDYn1IFDPWt_1FKiwhDph83XaGc0o0/edit?usp=sharing"",""งบพรบ!AD87"")"),73635.78)</f>
        <v>73635.78</v>
      </c>
      <c r="O58" s="93">
        <f t="shared" ca="1" si="32"/>
        <v>23.715227053140097</v>
      </c>
      <c r="P58" s="93">
        <f t="shared" ca="1" si="33"/>
        <v>47.430454106280195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IFERROR(__xludf.DUMMYFUNCTION("IMPORTRANGE(""https://docs.google.com/spreadsheets/d/1MeEWN-I1oV_STSDYn1IFDPWt_1FKiwhDph83XaGc0o0/edit?usp=sharing"",""งบพรบ!AC87"")"),0)</f>
        <v>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462300</v>
      </c>
      <c r="M88" s="155">
        <f t="shared" ca="1" si="49"/>
        <v>236800</v>
      </c>
      <c r="N88" s="155">
        <f t="shared" ca="1" si="49"/>
        <v>71000.990000000005</v>
      </c>
      <c r="O88" s="155">
        <f t="shared" ref="O88:O96" ca="1" si="50">IF(L88&gt;0,N88*100/L88,0)</f>
        <v>15.358206792126326</v>
      </c>
      <c r="P88" s="155">
        <f t="shared" ref="P88:P96" ca="1" si="51">IF(M88&gt;0,N88*100/M88,0)</f>
        <v>29.983526182432435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462300</v>
      </c>
      <c r="M90" s="93">
        <f t="shared" ca="1" si="52"/>
        <v>236800</v>
      </c>
      <c r="N90" s="93">
        <f t="shared" ca="1" si="52"/>
        <v>71000.990000000005</v>
      </c>
      <c r="O90" s="93">
        <f t="shared" ca="1" si="50"/>
        <v>15.358206792126326</v>
      </c>
      <c r="P90" s="93">
        <f t="shared" ca="1" si="51"/>
        <v>29.983526182432435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462300</v>
      </c>
      <c r="M91" s="497">
        <f t="shared" ca="1" si="53"/>
        <v>236800</v>
      </c>
      <c r="N91" s="497">
        <f t="shared" ca="1" si="53"/>
        <v>71000.990000000005</v>
      </c>
      <c r="O91" s="497">
        <f t="shared" ca="1" si="50"/>
        <v>15.358206792126326</v>
      </c>
      <c r="P91" s="497">
        <f t="shared" ca="1" si="51"/>
        <v>29.983526182432435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IFERROR(__xludf.DUMMYFUNCTION("IMPORTRANGE(""https://docs.google.com/spreadsheets/d/1MeEWN-I1oV_STSDYn1IFDPWt_1FKiwhDph83XaGc0o0/edit?usp=sharing"",""งบพรบ!AV87"")"),236800)</f>
        <v>236800</v>
      </c>
      <c r="N93" s="93">
        <f ca="1">IFERROR(__xludf.DUMMYFUNCTION("IMPORTRANGE(""https://docs.google.com/spreadsheets/d/1MeEWN-I1oV_STSDYn1IFDPWt_1FKiwhDph83XaGc0o0/edit?usp=sharing"",""งบพรบ!AX87"")"),71000.99)</f>
        <v>71000.990000000005</v>
      </c>
      <c r="O93" s="93">
        <f t="shared" ca="1" si="50"/>
        <v>15.358206792126326</v>
      </c>
      <c r="P93" s="93">
        <f t="shared" ca="1" si="51"/>
        <v>29.983526182432435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IFERROR(__xludf.DUMMYFUNCTION("IMPORTRANGE(""https://docs.google.com/spreadsheets/d/1QqKyyYR6Q21VydFLVH3TRQUabQu_ym0Zz7PgGX0-kHA/edit?usp=sharing"",""แผน!K87"")"),0)</f>
        <v>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IFERROR(__xludf.DUMMYFUNCTION("IMPORTRANGE(""https://docs.google.com/spreadsheets/d/1QqKyyYR6Q21VydFLVH3TRQUabQu_ym0Zz7PgGX0-kHA/edit?usp=sharing"",""แผน!L87"")"),0)</f>
        <v>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IFERROR(__xludf.DUMMYFUNCTION("IMPORTRANGE(""https://docs.google.com/spreadsheets/d/1QqKyyYR6Q21VydFLVH3TRQUabQu_ym0Zz7PgGX0-kHA/edit?usp=sharing"",""แผน!M87"")"),1)</f>
        <v>1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IFERROR(__xludf.DUMMYFUNCTION("IMPORTRANGE(""https://docs.google.com/spreadsheets/d/1QqKyyYR6Q21VydFLVH3TRQUabQu_ym0Zz7PgGX0-kHA/edit?usp=sharing"",""แผน!N87"")"),0)</f>
        <v>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IFERROR(__xludf.DUMMYFUNCTION("IMPORTRANGE(""https://docs.google.com/spreadsheets/d/1QqKyyYR6Q21VydFLVH3TRQUabQu_ym0Zz7PgGX0-kHA/edit?usp=sharing"",""แผน!O87"")"),0)</f>
        <v>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IFERROR(__xludf.DUMMYFUNCTION("IMPORTRANGE(""https://docs.google.com/spreadsheets/d/1QqKyyYR6Q21VydFLVH3TRQUabQu_ym0Zz7PgGX0-kHA/edit?usp=sharing"",""แผน!O87"")"),0)</f>
        <v>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IFERROR(__xludf.DUMMYFUNCTION("IMPORTRANGE(""https://docs.google.com/spreadsheets/d/1QqKyyYR6Q21VydFLVH3TRQUabQu_ym0Zz7PgGX0-kHA/edit?usp=sharing"",""แผน!P87"")"),1)</f>
        <v>1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IFERROR(__xludf.DUMMYFUNCTION("IMPORTRANGE(""https://docs.google.com/spreadsheets/d/1QqKyyYR6Q21VydFLVH3TRQUabQu_ym0Zz7PgGX0-kHA/edit?usp=sharing"",""แผน!P87"")"),1)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IFERROR(__xludf.DUMMYFUNCTION("IMPORTRANGE(""https://docs.google.com/spreadsheets/d/1QqKyyYR6Q21VydFLVH3TRQUabQu_ym0Zz7PgGX0-kHA/edit?usp=sharing"",""แผน!Q87"")"),0)</f>
        <v>0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IFERROR(__xludf.DUMMYFUNCTION("IMPORTRANGE(""https://docs.google.com/spreadsheets/d/1QqKyyYR6Q21VydFLVH3TRQUabQu_ym0Zz7PgGX0-kHA/edit?usp=sharing"",""แผน!Q87"")"),0)</f>
        <v>0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IFERROR(__xludf.DUMMYFUNCTION("IMPORTRANGE(""https://docs.google.com/spreadsheets/d/1QqKyyYR6Q21VydFLVH3TRQUabQu_ym0Zz7PgGX0-kHA/edit?usp=sharing"",""แผน!U87"")"),0)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IFERROR(__xludf.DUMMYFUNCTION("IMPORTRANGE(""https://docs.google.com/spreadsheets/d/1QqKyyYR6Q21VydFLVH3TRQUabQu_ym0Zz7PgGX0-kHA/edit?usp=sharing"",""แผน!V87"")"),0)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IFERROR(__xludf.DUMMYFUNCTION("IMPORTRANGE(""https://docs.google.com/spreadsheets/d/1QqKyyYR6Q21VydFLVH3TRQUabQu_ym0Zz7PgGX0-kHA/edit?usp=sharing"",""แผน!W87"")"),0)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IFERROR(__xludf.DUMMYFUNCTION("IMPORTRANGE(""https://docs.google.com/spreadsheets/d/1MeEWN-I1oV_STSDYn1IFDPWt_1FKiwhDph83XaGc0o0/edit?usp=sharing"",""งบพรบ!BZ87"")"),0)</f>
        <v>0</v>
      </c>
      <c r="N154" s="93">
        <f ca="1">IFERROR(__xludf.DUMMYFUNCTION("IMPORTRANGE(""https://docs.google.com/spreadsheets/d/1MeEWN-I1oV_STSDYn1IFDPWt_1FKiwhDph83XaGc0o0/edit?usp=sharing"",""งบพรบ!CB87"")"),0)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IFERROR(__xludf.DUMMYFUNCTION("IMPORTRANGE(""https://docs.google.com/spreadsheets/d/1QqKyyYR6Q21VydFLVH3TRQUabQu_ym0Zz7PgGX0-kHA/edit?usp=sharing"",""แผน!X87"")"),0)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IFERROR(__xludf.DUMMYFUNCTION("IMPORTRANGE(""https://docs.google.com/spreadsheets/d/1MeEWN-I1oV_STSDYn1IFDPWt_1FKiwhDph83XaGc0o0/edit?usp=sharing"",""งบพรบ!CJ87"")"),23060)</f>
        <v>23060</v>
      </c>
      <c r="N170" s="93">
        <f ca="1">IFERROR(__xludf.DUMMYFUNCTION("IMPORTRANGE(""https://docs.google.com/spreadsheets/d/1MeEWN-I1oV_STSDYn1IFDPWt_1FKiwhDph83XaGc0o0/edit?usp=sharing"",""งบพรบ!CL87"")"),23060)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IFERROR(__xludf.DUMMYFUNCTION("IMPORTRANGE(""https://docs.google.com/spreadsheets/d/1QqKyyYR6Q21VydFLVH3TRQUabQu_ym0Zz7PgGX0-kHA/edit?usp=sharing"",""แผน!Y87"")"),12)</f>
        <v>12</v>
      </c>
      <c r="J176" s="214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38200</v>
      </c>
      <c r="M181" s="155">
        <f t="shared" ca="1" si="92"/>
        <v>21000</v>
      </c>
      <c r="N181" s="155">
        <f t="shared" ca="1" si="92"/>
        <v>860</v>
      </c>
      <c r="O181" s="155">
        <f t="shared" ref="O181:O189" ca="1" si="93">IF(L181&gt;0,N181*100/L181,0)</f>
        <v>2.25130890052356</v>
      </c>
      <c r="P181" s="155">
        <f t="shared" ref="P181:P189" ca="1" si="94">IF(M181&gt;0,N181*100/M181,0)</f>
        <v>4.0952380952380949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38200</v>
      </c>
      <c r="M183" s="93">
        <f t="shared" ca="1" si="95"/>
        <v>21000</v>
      </c>
      <c r="N183" s="93">
        <f t="shared" ca="1" si="95"/>
        <v>860</v>
      </c>
      <c r="O183" s="93">
        <f t="shared" ca="1" si="93"/>
        <v>2.25130890052356</v>
      </c>
      <c r="P183" s="93">
        <f t="shared" ca="1" si="94"/>
        <v>4.0952380952380949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38200</v>
      </c>
      <c r="M184" s="497">
        <f t="shared" ca="1" si="96"/>
        <v>21000</v>
      </c>
      <c r="N184" s="497">
        <f t="shared" ca="1" si="96"/>
        <v>860</v>
      </c>
      <c r="O184" s="497">
        <f t="shared" ca="1" si="93"/>
        <v>2.25130890052356</v>
      </c>
      <c r="P184" s="497">
        <f t="shared" ca="1" si="94"/>
        <v>4.0952380952380949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IFERROR(__xludf.DUMMYFUNCTION("IMPORTRANGE(""https://docs.google.com/spreadsheets/d/1MeEWN-I1oV_STSDYn1IFDPWt_1FKiwhDph83XaGc0o0/edit?usp=sharing"",""งบพรบ!CT87"")"),21000)</f>
        <v>21000</v>
      </c>
      <c r="N186" s="93">
        <f ca="1">IFERROR(__xludf.DUMMYFUNCTION("IMPORTRANGE(""https://docs.google.com/spreadsheets/d/1MeEWN-I1oV_STSDYn1IFDPWt_1FKiwhDph83XaGc0o0/edit?usp=sharing"",""งบพรบ!CV87"")"),860)</f>
        <v>860</v>
      </c>
      <c r="O186" s="93">
        <f t="shared" ca="1" si="93"/>
        <v>2.25130890052356</v>
      </c>
      <c r="P186" s="93">
        <f t="shared" ca="1" si="94"/>
        <v>4.0952380952380949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IFERROR(__xludf.DUMMYFUNCTION("IMPORTRANGE(""https://docs.google.com/spreadsheets/d/1QqKyyYR6Q21VydFLVH3TRQUabQu_ym0Zz7PgGX0-kHA/edit?usp=sharing"",""แผน!AC87"")"),4)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25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25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IFERROR(__xludf.DUMMYFUNCTION("IMPORTRANGE(""https://docs.google.com/spreadsheets/d/1QqKyyYR6Q21VydFLVH3TRQUabQu_ym0Zz7PgGX0-kHA/edit?usp=sharing"",""แผน!AE87"")"),2000)</f>
        <v>2000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IFERROR(__xludf.DUMMYFUNCTION("IMPORTRANGE(""https://docs.google.com/spreadsheets/d/1QqKyyYR6Q21VydFLVH3TRQUabQu_ym0Zz7PgGX0-kHA/edit?usp=sharing"",""แผน!AF87"")"),16000)</f>
        <v>16000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IFERROR(__xludf.DUMMYFUNCTION("IMPORTRANGE(""https://docs.google.com/spreadsheets/d/1QqKyyYR6Q21VydFLVH3TRQUabQu_ym0Zz7PgGX0-kHA/edit?usp=sharing"",""แผน!AG87"")"),8000)</f>
        <v>8000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IFERROR(__xludf.DUMMYFUNCTION("IMPORTRANGE(""https://docs.google.com/spreadsheets/d/1QqKyyYR6Q21VydFLVH3TRQUabQu_ym0Zz7PgGX0-kHA/edit?usp=sharing"",""แผน!AH87"")"),0)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IFERROR(__xludf.DUMMYFUNCTION("IMPORTRANGE(""https://docs.google.com/spreadsheets/d/1QqKyyYR6Q21VydFLVH3TRQUabQu_ym0Zz7PgGX0-kHA/edit?usp=sharing"",""แผน!AI87"")"),2)</f>
        <v>2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IFERROR(__xludf.DUMMYFUNCTION("IMPORTRANGE(""https://docs.google.com/spreadsheets/d/1QqKyyYR6Q21VydFLVH3TRQUabQu_ym0Zz7PgGX0-kHA/edit?usp=sharing"",""แผน!AK87"")"),0)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IFERROR(__xludf.DUMMYFUNCTION("IMPORTRANGE(""https://docs.google.com/spreadsheets/d/1QqKyyYR6Q21VydFLVH3TRQUabQu_ym0Zz7PgGX0-kHA/edit?usp=sharing"",""แผน!AL87"")"),0)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IFERROR(__xludf.DUMMYFUNCTION("IMPORTRANGE(""https://docs.google.com/spreadsheets/d/1QqKyyYR6Q21VydFLVH3TRQUabQu_ym0Zz7PgGX0-kHA/edit?usp=sharing"",""แผน!AM87"")"),0)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IFERROR(__xludf.DUMMYFUNCTION("IMPORTRANGE(""https://docs.google.com/spreadsheets/d/1QqKyyYR6Q21VydFLVH3TRQUabQu_ym0Zz7PgGX0-kHA/edit?usp=sharing"",""แผน!AN87"")"),0)</f>
        <v>0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IFERROR(__xludf.DUMMYFUNCTION("IMPORTRANGE(""https://docs.google.com/spreadsheets/d/1QqKyyYR6Q21VydFLVH3TRQUabQu_ym0Zz7PgGX0-kHA/edit?usp=sharing"",""แผน!AN87"")"),0)</f>
        <v>0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6400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IFERROR(__xludf.DUMMYFUNCTION("IMPORTRANGE(""https://docs.google.com/spreadsheets/d/1QqKyyYR6Q21VydFLVH3TRQUabQu_ym0Zz7PgGX0-kHA/edit?usp=sharing"",""แผน!AP87"")"),3000)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IFERROR(__xludf.DUMMYFUNCTION("IMPORTRANGE(""https://docs.google.com/spreadsheets/d/1QqKyyYR6Q21VydFLVH3TRQUabQu_ym0Zz7PgGX0-kHA/edit?usp=sharing"",""แผน!AQ87"")"),3200)</f>
        <v>3200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IFERROR(__xludf.DUMMYFUNCTION("IMPORTRANGE(""https://docs.google.com/spreadsheets/d/1QqKyyYR6Q21VydFLVH3TRQUabQu_ym0Zz7PgGX0-kHA/edit?usp=sharing"",""แผน!AR87"")"),0)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IFERROR(__xludf.DUMMYFUNCTION("IMPORTRANGE(""https://docs.google.com/spreadsheets/d/1QqKyyYR6Q21VydFLVH3TRQUabQu_ym0Zz7PgGX0-kHA/edit?usp=sharing"",""แผน!AT87"")"),6400)</f>
        <v>6400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IFERROR(__xludf.DUMMYFUNCTION("IMPORTRANGE(""https://docs.google.com/spreadsheets/d/1QqKyyYR6Q21VydFLVH3TRQUabQu_ym0Zz7PgGX0-kHA/edit?usp=sharing"",""แผน!AT87"")"),6400)</f>
        <v>6400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IFERROR(__xludf.DUMMYFUNCTION("IMPORTRANGE(""https://docs.google.com/spreadsheets/d/1QqKyyYR6Q21VydFLVH3TRQUabQu_ym0Zz7PgGX0-kHA/edit?usp=sharing"",""แผน!AS87"")"),0)</f>
        <v>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IFERROR(__xludf.DUMMYFUNCTION("IMPORTRANGE(""https://docs.google.com/spreadsheets/d/1QqKyyYR6Q21VydFLVH3TRQUabQu_ym0Zz7PgGX0-kHA/edit?usp=sharing"",""แผน!AV87"")"),0)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IFERROR(__xludf.DUMMYFUNCTION("IMPORTRANGE(""https://docs.google.com/spreadsheets/d/1QqKyyYR6Q21VydFLVH3TRQUabQu_ym0Zz7PgGX0-kHA/edit?usp=sharing"",""แผน!AW87"")"),0)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IFERROR(__xludf.DUMMYFUNCTION("IMPORTRANGE(""https://docs.google.com/spreadsheets/d/1QqKyyYR6Q21VydFLVH3TRQUabQu_ym0Zz7PgGX0-kHA/edit?usp=sharing"",""แผน!AX87"")"),0)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IFERROR(__xludf.DUMMYFUNCTION("IMPORTRANGE(""https://docs.google.com/spreadsheets/d/1QqKyyYR6Q21VydFLVH3TRQUabQu_ym0Zz7PgGX0-kHA/edit?usp=sharing"",""แผน!AY87"")"),0)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IFERROR(__xludf.DUMMYFUNCTION("IMPORTRANGE(""https://docs.google.com/spreadsheets/d/1QqKyyYR6Q21VydFLVH3TRQUabQu_ym0Zz7PgGX0-kHA/edit?usp=sharing"",""แผน!BE87"")"),0)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IFERROR(__xludf.DUMMYFUNCTION("IMPORTRANGE(""https://docs.google.com/spreadsheets/d/1QqKyyYR6Q21VydFLVH3TRQUabQu_ym0Zz7PgGX0-kHA/edit?usp=sharing"",""แผน!AZ87"")"),0)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IFERROR(__xludf.DUMMYFUNCTION("IMPORTRANGE(""https://docs.google.com/spreadsheets/d/1QqKyyYR6Q21VydFLVH3TRQUabQu_ym0Zz7PgGX0-kHA/edit?usp=sharing"",""แผน!BA87"")"),0)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IFERROR(__xludf.DUMMYFUNCTION("IMPORTRANGE(""https://docs.google.com/spreadsheets/d/1QqKyyYR6Q21VydFLVH3TRQUabQu_ym0Zz7PgGX0-kHA/edit?usp=sharing"",""แผน!BB87"")"),0)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IFERROR(__xludf.DUMMYFUNCTION("IMPORTRANGE(""https://docs.google.com/spreadsheets/d/1QqKyyYR6Q21VydFLVH3TRQUabQu_ym0Zz7PgGX0-kHA/edit?usp=sharing"",""แผน!BC87"")"),0)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IFERROR(__xludf.DUMMYFUNCTION("IMPORTRANGE(""https://docs.google.com/spreadsheets/d/1QqKyyYR6Q21VydFLVH3TRQUabQu_ym0Zz7PgGX0-kHA/edit?usp=sharing"",""แผน!BF87"")"),0)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20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IFERROR(__xludf.DUMMYFUNCTION("IMPORTRANGE(""https://docs.google.com/spreadsheets/d/1MeEWN-I1oV_STSDYn1IFDPWt_1FKiwhDph83XaGc0o0/edit?usp=sharing"",""งบพรบ!DD87"")"),0)</f>
        <v>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IFERROR(__xludf.DUMMYFUNCTION("IMPORTRANGE(""https://docs.google.com/spreadsheets/d/1QqKyyYR6Q21VydFLVH3TRQUabQu_ym0Zz7PgGX0-kHA/edit?usp=sharing"",""แผน!EA87"")"),20)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IFERROR(__xludf.DUMMYFUNCTION("IMPORTRANGE(""https://docs.google.com/spreadsheets/d/1QqKyyYR6Q21VydFLVH3TRQUabQu_ym0Zz7PgGX0-kHA/edit?usp=sharing"",""แผน!EC87"")"),0)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IFERROR(__xludf.DUMMYFUNCTION("IMPORTRANGE(""https://docs.google.com/spreadsheets/d/1QqKyyYR6Q21VydFLVH3TRQUabQu_ym0Zz7PgGX0-kHA/edit?usp=sharing"",""แผน!EB87"")"),0)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IFERROR(__xludf.DUMMYFUNCTION("IMPORTRANGE(""https://docs.google.com/spreadsheets/d/1QqKyyYR6Q21VydFLVH3TRQUabQu_ym0Zz7PgGX0-kHA/edit?usp=sharing"",""แผน!EB87"")"),0)</f>
        <v>0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IFERROR(__xludf.DUMMYFUNCTION("IMPORTRANGE(""https://docs.google.com/spreadsheets/d/1QqKyyYR6Q21VydFLVH3TRQUabQu_ym0Zz7PgGX0-kHA/edit?usp=sharing"",""แผน!ED87"")"),0)</f>
        <v>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IFERROR(__xludf.DUMMYFUNCTION("IMPORTRANGE(""https://docs.google.com/spreadsheets/d/1QqKyyYR6Q21VydFLVH3TRQUabQu_ym0Zz7PgGX0-kHA/edit?usp=sharing"",""แผน!ED87"")"),0)</f>
        <v>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IFERROR(__xludf.DUMMYFUNCTION("IMPORTRANGE(""https://docs.google.com/spreadsheets/d/1QqKyyYR6Q21VydFLVH3TRQUabQu_ym0Zz7PgGX0-kHA/edit?usp=sharing"",""แผน!ED87"")"),0)</f>
        <v>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IFERROR(__xludf.DUMMYFUNCTION("IMPORTRANGE(""https://docs.google.com/spreadsheets/d/1QqKyyYR6Q21VydFLVH3TRQUabQu_ym0Zz7PgGX0-kHA/edit?usp=sharing"",""แผน!EE87"")"),0)</f>
        <v>0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IFERROR(__xludf.DUMMYFUNCTION("IMPORTRANGE(""https://docs.google.com/spreadsheets/d/1QqKyyYR6Q21VydFLVH3TRQUabQu_ym0Zz7PgGX0-kHA/edit?usp=sharing"",""แผน!EF87"")"),0)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IFERROR(__xludf.DUMMYFUNCTION("IMPORTRANGE(""https://docs.google.com/spreadsheets/d/1QqKyyYR6Q21VydFLVH3TRQUabQu_ym0Zz7PgGX0-kHA/edit?usp=sharing"",""แผน!EG87"")"),200)</f>
        <v>200</v>
      </c>
      <c r="J327" s="444">
        <f ca="1">J338+J341+J342+J343</f>
        <v>103</v>
      </c>
      <c r="K327" s="445">
        <f ca="1">IF(I327&gt;0,J327*100/I327,0)</f>
        <v>51.5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30512</v>
      </c>
      <c r="O328" s="155">
        <f t="shared" ref="O328:O336" ca="1" si="150">IF(L328&gt;0,N328*100/L328,0)</f>
        <v>19.4343949044586</v>
      </c>
      <c r="P328" s="155">
        <f t="shared" ref="P328:P336" ca="1" si="151">IF(M328&gt;0,N328*100/M328,0)</f>
        <v>38.868789808917199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30512</v>
      </c>
      <c r="O330" s="93">
        <f t="shared" ca="1" si="150"/>
        <v>19.4343949044586</v>
      </c>
      <c r="P330" s="93">
        <f t="shared" ca="1" si="151"/>
        <v>38.868789808917199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78500</v>
      </c>
      <c r="N331" s="497">
        <f t="shared" ca="1" si="153"/>
        <v>30512</v>
      </c>
      <c r="O331" s="497">
        <f t="shared" ca="1" si="150"/>
        <v>19.4343949044586</v>
      </c>
      <c r="P331" s="497">
        <f t="shared" ca="1" si="151"/>
        <v>38.868789808917199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IFERROR(__xludf.DUMMYFUNCTION("IMPORTRANGE(""https://docs.google.com/spreadsheets/d/1MeEWN-I1oV_STSDYn1IFDPWt_1FKiwhDph83XaGc0o0/edit?usp=sharing"",""งบพรบ!ER87"")"),78500)</f>
        <v>78500</v>
      </c>
      <c r="N333" s="93">
        <f ca="1">IFERROR(__xludf.DUMMYFUNCTION("IMPORTRANGE(""https://docs.google.com/spreadsheets/d/1MeEWN-I1oV_STSDYn1IFDPWt_1FKiwhDph83XaGc0o0/edit?usp=sharing"",""งบพรบ!ET87"")"),30512)</f>
        <v>30512</v>
      </c>
      <c r="O333" s="93">
        <f t="shared" ca="1" si="150"/>
        <v>19.4343949044586</v>
      </c>
      <c r="P333" s="93">
        <f t="shared" ca="1" si="151"/>
        <v>38.868789808917199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875">
        <f ca="1">IFERROR(__xludf.DUMMYFUNCTION("IMPORTRANGE(""https://docs.google.com/spreadsheets/d/1QqKyyYR6Q21VydFLVH3TRQUabQu_ym0Zz7PgGX0-kHA/edit?usp=sharing"",""แผน!EG87"")"),200)</f>
        <v>200</v>
      </c>
      <c r="J338" s="876">
        <f ca="1">IFERROR(__xludf.DUMMYFUNCTION("IMPORTRANGE(""https://docs.google.com/spreadsheets/d/1kVcqe37tkHyjCSG3S0O1AXqVkqjo8mSIZil3BcpIysc/edit?usp=sharing"",""ศูนย์!D87"")"),98)</f>
        <v>98</v>
      </c>
      <c r="K338" s="877">
        <f ca="1">IF(I338&gt;0,J338*100/I338,0)</f>
        <v>49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878"/>
      <c r="J339" s="879"/>
      <c r="K339" s="880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881">
        <f ca="1">IFERROR(__xludf.DUMMYFUNCTION("IMPORTRANGE(""https://docs.google.com/spreadsheets/d/1QqKyyYR6Q21VydFLVH3TRQUabQu_ym0Zz7PgGX0-kHA/edit?usp=sharing"",""แผน!EH87"")"),2)</f>
        <v>2</v>
      </c>
      <c r="J340" s="882">
        <f ca="1">IFERROR(__xludf.DUMMYFUNCTION("IMPORTRANGE(""https://docs.google.com/spreadsheets/d/1kVcqe37tkHyjCSG3S0O1AXqVkqjo8mSIZil3BcpIysc/edit?usp=sharing"",""ศูนย์!E87"")"),1)</f>
        <v>1</v>
      </c>
      <c r="K340" s="883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878"/>
      <c r="J341" s="882">
        <f ca="1">IFERROR(__xludf.DUMMYFUNCTION("IMPORTRANGE(""https://docs.google.com/spreadsheets/d/1kVcqe37tkHyjCSG3S0O1AXqVkqjo8mSIZil3BcpIysc/edit?usp=sharing"",""ศูนย์!F87"")"),5)</f>
        <v>5</v>
      </c>
      <c r="K341" s="880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878"/>
      <c r="J342" s="882">
        <f ca="1">IFERROR(__xludf.DUMMYFUNCTION("IMPORTRANGE(""https://docs.google.com/spreadsheets/d/1kVcqe37tkHyjCSG3S0O1AXqVkqjo8mSIZil3BcpIysc/edit?usp=sharing"",""ศูนย์!G87"")"),0)</f>
        <v>0</v>
      </c>
      <c r="K342" s="880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878"/>
      <c r="J343" s="882">
        <f ca="1">IFERROR(__xludf.DUMMYFUNCTION("IMPORTRANGE(""https://docs.google.com/spreadsheets/d/1kVcqe37tkHyjCSG3S0O1AXqVkqjo8mSIZil3BcpIysc/edit?usp=sharing"",""ศูนย์!H87"")"),0)</f>
        <v>0</v>
      </c>
      <c r="K343" s="880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518480</v>
      </c>
      <c r="M345" s="155">
        <f t="shared" ca="1" si="155"/>
        <v>297250</v>
      </c>
      <c r="N345" s="155">
        <f t="shared" ca="1" si="155"/>
        <v>122117</v>
      </c>
      <c r="O345" s="155">
        <f t="shared" ref="O345:O353" ca="1" si="156">IF(L345&gt;0,N345*100/L345,0)</f>
        <v>23.552885357197962</v>
      </c>
      <c r="P345" s="155">
        <f t="shared" ref="P345:P353" ca="1" si="157">IF(M345&gt;0,N345*100/M345,0)</f>
        <v>41.082253994953746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518480</v>
      </c>
      <c r="M347" s="93">
        <f t="shared" ca="1" si="158"/>
        <v>297250</v>
      </c>
      <c r="N347" s="93">
        <f t="shared" ca="1" si="158"/>
        <v>122117</v>
      </c>
      <c r="O347" s="93">
        <f t="shared" ca="1" si="156"/>
        <v>23.552885357197962</v>
      </c>
      <c r="P347" s="93">
        <f t="shared" ca="1" si="157"/>
        <v>41.082253994953746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442480</v>
      </c>
      <c r="M348" s="497">
        <f t="shared" ca="1" si="159"/>
        <v>221250</v>
      </c>
      <c r="N348" s="497">
        <f t="shared" ca="1" si="159"/>
        <v>46117</v>
      </c>
      <c r="O348" s="497">
        <f t="shared" ca="1" si="156"/>
        <v>10.422391972518533</v>
      </c>
      <c r="P348" s="497">
        <f t="shared" ca="1" si="157"/>
        <v>20.843841807909605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IFERROR(__xludf.DUMMYFUNCTION("IMPORTRANGE(""https://docs.google.com/spreadsheets/d/1MeEWN-I1oV_STSDYn1IFDPWt_1FKiwhDph83XaGc0o0/edit?usp=sharing"",""งบพรบ!FB87"")"),221250)</f>
        <v>221250</v>
      </c>
      <c r="N350" s="93">
        <f ca="1">IFERROR(__xludf.DUMMYFUNCTION("IMPORTRANGE(""https://docs.google.com/spreadsheets/d/1MeEWN-I1oV_STSDYn1IFDPWt_1FKiwhDph83XaGc0o0/edit?usp=sharing"",""งบพรบ!FD87"")"),46117)</f>
        <v>46117</v>
      </c>
      <c r="O350" s="93">
        <f t="shared" ca="1" si="156"/>
        <v>10.422391972518533</v>
      </c>
      <c r="P350" s="93">
        <f t="shared" ca="1" si="157"/>
        <v>20.843841807909605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76000</v>
      </c>
      <c r="N351" s="497">
        <f t="shared" ca="1" si="160"/>
        <v>76000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IFERROR(__xludf.DUMMYFUNCTION("IMPORTRANGE(""https://docs.google.com/spreadsheets/d/1QqKyyYR6Q21VydFLVH3TRQUabQu_ym0Zz7PgGX0-kHA/edit?usp=sharing"",""แผน!EP87"")"),78)</f>
        <v>78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IFERROR(__xludf.DUMMYFUNCTION("IMPORTRANGE(""https://docs.google.com/spreadsheets/d/1XWAQStnk-4SwqDmLtmXYiTMKHgktTP8We1SCoS47DrQ/edit?usp=sharing"",""จัดที่ดิน!W87"")"),7)</f>
        <v>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IFERROR(__xludf.DUMMYFUNCTION("IMPORTRANGE(""https://docs.google.com/spreadsheets/d/1QqKyyYR6Q21VydFLVH3TRQUabQu_ym0Zz7PgGX0-kHA/edit?usp=sharing"",""แผน!EO87"")"),379)</f>
        <v>379</v>
      </c>
      <c r="J359" s="269">
        <f ca="1">IFERROR(__xludf.DUMMYFUNCTION("IMPORTRANGE(""https://docs.google.com/spreadsheets/d/1XWAQStnk-4SwqDmLtmXYiTMKHgktTP8We1SCoS47DrQ/edit?usp=sharing"",""จัดที่ดิน!X87"")"),20.6)</f>
        <v>20.6</v>
      </c>
      <c r="K359" s="497">
        <f t="shared" ca="1" si="161"/>
        <v>5.4353562005277043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IFERROR(__xludf.DUMMYFUNCTION("IMPORTRANGE(""https://docs.google.com/spreadsheets/d/1QqKyyYR6Q21VydFLVH3TRQUabQu_ym0Zz7PgGX0-kHA/edit?usp=sharing"",""แผน!EP87"")"),78)</f>
        <v>78</v>
      </c>
      <c r="J360" s="269">
        <f ca="1">IFERROR(__xludf.DUMMYFUNCTION("IMPORTRANGE(""https://docs.google.com/spreadsheets/d/1XWAQStnk-4SwqDmLtmXYiTMKHgktTP8We1SCoS47DrQ/edit?usp=sharing"",""จัดที่ดิน!Y87"")"),7)</f>
        <v>7</v>
      </c>
      <c r="K360" s="497">
        <f t="shared" ca="1" si="161"/>
        <v>8.9743589743589745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IFERROR(__xludf.DUMMYFUNCTION("IMPORTRANGE(""https://docs.google.com/spreadsheets/d/1XWAQStnk-4SwqDmLtmXYiTMKHgktTP8We1SCoS47DrQ/edit?usp=sharing"",""จัดที่ดิน!Z87"")"),20.6)</f>
        <v>20.6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IFERROR(__xludf.DUMMYFUNCTION("IMPORTRANGE(""https://docs.google.com/spreadsheets/d/1QqKyyYR6Q21VydFLVH3TRQUabQu_ym0Zz7PgGX0-kHA/edit?usp=sharing"",""แผน!EP87"")"),78)</f>
        <v>78</v>
      </c>
      <c r="J362" s="269">
        <f ca="1">IFERROR(__xludf.DUMMYFUNCTION("IMPORTRANGE(""https://docs.google.com/spreadsheets/d/1XWAQStnk-4SwqDmLtmXYiTMKHgktTP8We1SCoS47DrQ/edit?usp=sharing"",""จัดที่ดิน!AA87"")"),0)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IFERROR(__xludf.DUMMYFUNCTION("IMPORTRANGE(""https://docs.google.com/spreadsheets/d/1XWAQStnk-4SwqDmLtmXYiTMKHgktTP8We1SCoS47DrQ/edit?usp=sharing"",""จัดที่ดิน!AB87"")"),0)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141</v>
      </c>
      <c r="J364" s="478">
        <f t="shared" ca="1" si="162"/>
        <v>2</v>
      </c>
      <c r="K364" s="479">
        <f t="shared" ca="1" si="161"/>
        <v>1.4184397163120568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IFERROR(__xludf.DUMMYFUNCTION("IMPORTRANGE(""https://docs.google.com/spreadsheets/d/1QqKyyYR6Q21VydFLVH3TRQUabQu_ym0Zz7PgGX0-kHA/edit?usp=sharing"",""แผน!EJ87"")"),40)</f>
        <v>40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IFERROR(__xludf.DUMMYFUNCTION("IMPORTRANGE(""https://docs.google.com/spreadsheets/d/1XWAQStnk-4SwqDmLtmXYiTMKHgktTP8We1SCoS47DrQ/edit?usp=sharing"",""จัดที่ดิน!E87"")"),7)</f>
        <v>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IFERROR(__xludf.DUMMYFUNCTION("IMPORTRANGE(""https://docs.google.com/spreadsheets/d/1QqKyyYR6Q21VydFLVH3TRQUabQu_ym0Zz7PgGX0-kHA/edit?usp=sharing"",""แผน!EI87"")"),200)</f>
        <v>200</v>
      </c>
      <c r="J369" s="269">
        <f ca="1">IFERROR(__xludf.DUMMYFUNCTION("IMPORTRANGE(""https://docs.google.com/spreadsheets/d/1XWAQStnk-4SwqDmLtmXYiTMKHgktTP8We1SCoS47DrQ/edit?usp=sharing"",""จัดที่ดิน!F87"")"),20.6)</f>
        <v>20.6</v>
      </c>
      <c r="K369" s="497">
        <f t="shared" ca="1" si="163"/>
        <v>10.3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IFERROR(__xludf.DUMMYFUNCTION("IMPORTRANGE(""https://docs.google.com/spreadsheets/d/1QqKyyYR6Q21VydFLVH3TRQUabQu_ym0Zz7PgGX0-kHA/edit?usp=sharing"",""แผน!EJ87"")"),40)</f>
        <v>40</v>
      </c>
      <c r="J370" s="269">
        <f ca="1">IFERROR(__xludf.DUMMYFUNCTION("IMPORTRANGE(""https://docs.google.com/spreadsheets/d/1XWAQStnk-4SwqDmLtmXYiTMKHgktTP8We1SCoS47DrQ/edit?usp=sharing"",""จัดที่ดิน!G87"")"),7)</f>
        <v>7</v>
      </c>
      <c r="K370" s="497">
        <f t="shared" ca="1" si="163"/>
        <v>17.5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IFERROR(__xludf.DUMMYFUNCTION("IMPORTRANGE(""https://docs.google.com/spreadsheets/d/1XWAQStnk-4SwqDmLtmXYiTMKHgktTP8We1SCoS47DrQ/edit?usp=sharing"",""จัดที่ดิน!H87"")"),20.6)</f>
        <v>20.6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IFERROR(__xludf.DUMMYFUNCTION("IMPORTRANGE(""https://docs.google.com/spreadsheets/d/1QqKyyYR6Q21VydFLVH3TRQUabQu_ym0Zz7PgGX0-kHA/edit?usp=sharing"",""แผน!EJ87"")"),40)</f>
        <v>40</v>
      </c>
      <c r="J372" s="269">
        <f ca="1">IFERROR(__xludf.DUMMYFUNCTION("IMPORTRANGE(""https://docs.google.com/spreadsheets/d/1XWAQStnk-4SwqDmLtmXYiTMKHgktTP8We1SCoS47DrQ/edit?usp=sharing"",""จัดที่ดิน!I87"")"),0)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IFERROR(__xludf.DUMMYFUNCTION("IMPORTRANGE(""https://docs.google.com/spreadsheets/d/1XWAQStnk-4SwqDmLtmXYiTMKHgktTP8We1SCoS47DrQ/edit?usp=sharing"",""จัดที่ดิน!J87"")"),0)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IFERROR(__xludf.DUMMYFUNCTION("IMPORTRANGE(""https://docs.google.com/spreadsheets/d/1QqKyyYR6Q21VydFLVH3TRQUabQu_ym0Zz7PgGX0-kHA/edit?usp=sharing"",""แผน!EU87"")"),101)</f>
        <v>101</v>
      </c>
      <c r="J374" s="490">
        <f ca="1">J381</f>
        <v>2</v>
      </c>
      <c r="K374" s="491">
        <f t="shared" ca="1" si="163"/>
        <v>1.9801980198019802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IFERROR(__xludf.DUMMYFUNCTION("IMPORTRANGE(""https://docs.google.com/spreadsheets/d/1XWAQStnk-4SwqDmLtmXYiTMKHgktTP8We1SCoS47DrQ/edit?usp=sharing"",""จัดที่ดิน!AH87"")"),0)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IFERROR(__xludf.DUMMYFUNCTION("IMPORTRANGE(""https://docs.google.com/spreadsheets/d/1QqKyyYR6Q21VydFLVH3TRQUabQu_ym0Zz7PgGX0-kHA/edit?usp=sharing"",""แผน!ET87"")"),179)</f>
        <v>179</v>
      </c>
      <c r="J378" s="269">
        <f ca="1">IFERROR(__xludf.DUMMYFUNCTION("IMPORTRANGE(""https://docs.google.com/spreadsheets/d/1XWAQStnk-4SwqDmLtmXYiTMKHgktTP8We1SCoS47DrQ/edit?usp=sharing"",""จัดที่ดิน!AI87"")"),0)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IFERROR(__xludf.DUMMYFUNCTION("IMPORTRANGE(""https://docs.google.com/spreadsheets/d/1QqKyyYR6Q21VydFLVH3TRQUabQu_ym0Zz7PgGX0-kHA/edit?usp=sharing"",""แผน!EU87"")"),101)</f>
        <v>101</v>
      </c>
      <c r="J379" s="269">
        <f ca="1">IFERROR(__xludf.DUMMYFUNCTION("IMPORTRANGE(""https://docs.google.com/spreadsheets/d/1XWAQStnk-4SwqDmLtmXYiTMKHgktTP8We1SCoS47DrQ/edit?usp=sharing"",""จัดที่ดิน!AJ87"")"),2)</f>
        <v>2</v>
      </c>
      <c r="K379" s="497">
        <f t="shared" ca="1" si="164"/>
        <v>1.9801980198019802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IFERROR(__xludf.DUMMYFUNCTION("IMPORTRANGE(""https://docs.google.com/spreadsheets/d/1XWAQStnk-4SwqDmLtmXYiTMKHgktTP8We1SCoS47DrQ/edit?usp=sharing"",""จัดที่ดิน!AK87"")"),6.95)</f>
        <v>6.95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IFERROR(__xludf.DUMMYFUNCTION("IMPORTRANGE(""https://docs.google.com/spreadsheets/d/1QqKyyYR6Q21VydFLVH3TRQUabQu_ym0Zz7PgGX0-kHA/edit?usp=sharing"",""แผน!EU87"")"),101)</f>
        <v>101</v>
      </c>
      <c r="J381" s="269">
        <f ca="1">IFERROR(__xludf.DUMMYFUNCTION("IMPORTRANGE(""https://docs.google.com/spreadsheets/d/1XWAQStnk-4SwqDmLtmXYiTMKHgktTP8We1SCoS47DrQ/edit?usp=sharing"",""จัดที่ดิน!AL87"")"),2)</f>
        <v>2</v>
      </c>
      <c r="K381" s="497">
        <f t="shared" ca="1" si="164"/>
        <v>1.9801980198019802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IFERROR(__xludf.DUMMYFUNCTION("IMPORTRANGE(""https://docs.google.com/spreadsheets/d/1XWAQStnk-4SwqDmLtmXYiTMKHgktTP8We1SCoS47DrQ/edit?usp=sharing"",""จัดที่ดิน!AM87"")"),6.95)</f>
        <v>6.95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IFERROR(__xludf.DUMMYFUNCTION("IMPORTRANGE(""https://docs.google.com/spreadsheets/d/1QqKyyYR6Q21VydFLVH3TRQUabQu_ym0Zz7PgGX0-kHA/edit?usp=sharing"",""แผน!EW87"")"),5)</f>
        <v>5</v>
      </c>
      <c r="J385" s="500">
        <f ca="1">IFERROR(__xludf.DUMMYFUNCTION("IMPORTRANGE(""https://docs.google.com/spreadsheets/d/1XWAQStnk-4SwqDmLtmXYiTMKHgktTP8We1SCoS47DrQ/edit?usp=sharing"",""จัดที่ดิน!AP87"")"),0)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408966</v>
      </c>
      <c r="M414" s="548">
        <f t="shared" si="181"/>
        <v>0</v>
      </c>
      <c r="N414" s="548">
        <f t="shared" si="181"/>
        <v>82275</v>
      </c>
      <c r="O414" s="548">
        <f ca="1">IF(L414&gt;0,N414*100/L414,0)</f>
        <v>20.117809304440957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19984</v>
      </c>
      <c r="O419" s="155">
        <f t="shared" ref="O419:O424" ca="1" si="185">IF(L419&gt;0,N419*100/L419,0)</f>
        <v>30.02403846153846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19984</v>
      </c>
      <c r="O421" s="93">
        <f t="shared" ca="1" si="185"/>
        <v>30.02403846153846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si="188"/>
        <v>0</v>
      </c>
      <c r="N422" s="497">
        <f t="shared" si="188"/>
        <v>19984</v>
      </c>
      <c r="O422" s="497">
        <f t="shared" ca="1" si="185"/>
        <v>30.02403846153846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v>0</v>
      </c>
      <c r="N424" s="93">
        <f>N425+N426+N427+N428</f>
        <v>19984</v>
      </c>
      <c r="O424" s="93">
        <f t="shared" ca="1" si="185"/>
        <v>30.02403846153846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18984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1000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IFERROR(__xludf.DUMMYFUNCTION("IMPORTRANGE(""https://docs.google.com/spreadsheets/d/1QqKyyYR6Q21VydFLVH3TRQUabQu_ym0Zz7PgGX0-kHA/edit?usp=sharing"",""แผน!FC87"")"),15)</f>
        <v>15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IFERROR(__xludf.DUMMYFUNCTION("IMPORTRANGE(""https://docs.google.com/spreadsheets/d/1QqKyyYR6Q21VydFLVH3TRQUabQu_ym0Zz7PgGX0-kHA/edit?usp=sharing"",""แผน!FD87"")"),0)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IFERROR(__xludf.DUMMYFUNCTION("IMPORTRANGE(""https://docs.google.com/spreadsheets/d/1QqKyyYR6Q21VydFLVH3TRQUabQu_ym0Zz7PgGX0-kHA/edit?usp=sharing"",""แผน!FE87"")"),0)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IFERROR(__xludf.DUMMYFUNCTION("IMPORTRANGE(""https://docs.google.com/spreadsheets/d/1QqKyyYR6Q21VydFLVH3TRQUabQu_ym0Zz7PgGX0-kHA/edit?usp=sharing"",""แผน!FF87"")"),15)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IFERROR(__xludf.DUMMYFUNCTION("IMPORTRANGE(""https://docs.google.com/spreadsheets/d/1QqKyyYR6Q21VydFLVH3TRQUabQu_ym0Zz7PgGX0-kHA/edit?usp=sharing"",""แผน!FG87"")"),1)</f>
        <v>1</v>
      </c>
      <c r="J440" s="214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IFERROR(__xludf.DUMMYFUNCTION("IMPORTRANGE(""https://docs.google.com/spreadsheets/d/1QqKyyYR6Q21VydFLVH3TRQUabQu_ym0Zz7PgGX0-kHA/edit?usp=sharing"",""แผน!FH87"")"),0)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IFERROR(__xludf.DUMMYFUNCTION("IMPORTRANGE(""https://docs.google.com/spreadsheets/d/1QqKyyYR6Q21VydFLVH3TRQUabQu_ym0Zz7PgGX0-kHA/edit?usp=sharing"",""แผน!FN87"")"),0)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IFERROR(__xludf.DUMMYFUNCTION("IMPORTRANGE(""https://docs.google.com/spreadsheets/d/1QqKyyYR6Q21VydFLVH3TRQUabQu_ym0Zz7PgGX0-kHA/edit?usp=sharing"",""แผน!FO87"")"),0)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IFERROR(__xludf.DUMMYFUNCTION("IMPORTRANGE(""https://docs.google.com/spreadsheets/d/1QqKyyYR6Q21VydFLVH3TRQUabQu_ym0Zz7PgGX0-kHA/edit?usp=sharing"",""แผน!FO87"")"),0)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IFERROR(__xludf.DUMMYFUNCTION("IMPORTRANGE(""https://docs.google.com/spreadsheets/d/1QqKyyYR6Q21VydFLVH3TRQUabQu_ym0Zz7PgGX0-kHA/edit?usp=sharing"",""แผน!FN87"")"),0)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IFERROR(__xludf.DUMMYFUNCTION("IMPORTRANGE(""https://docs.google.com/spreadsheets/d/1QqKyyYR6Q21VydFLVH3TRQUabQu_ym0Zz7PgGX0-kHA/edit?usp=sharing"",""แผน!FX87"")"),11)</f>
        <v>11</v>
      </c>
      <c r="J465" s="584">
        <f>J485+J489+J492</f>
        <v>10</v>
      </c>
      <c r="K465" s="585">
        <f t="shared" ref="K465:K466" ca="1" si="205">IF(I465&gt;0,J465*100/I465,0)</f>
        <v>90.909090909090907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IFERROR(__xludf.DUMMYFUNCTION("IMPORTRANGE(""https://docs.google.com/spreadsheets/d/1QqKyyYR6Q21VydFLVH3TRQUabQu_ym0Zz7PgGX0-kHA/edit?usp=sharing"",""แผน!FW87"")"),100)</f>
        <v>100</v>
      </c>
      <c r="J466" s="564">
        <f>J483+J487</f>
        <v>100</v>
      </c>
      <c r="K466" s="565">
        <f t="shared" ca="1" si="205"/>
        <v>100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98283</v>
      </c>
      <c r="M467" s="195">
        <f t="shared" si="206"/>
        <v>0</v>
      </c>
      <c r="N467" s="195">
        <f t="shared" si="206"/>
        <v>33570</v>
      </c>
      <c r="O467" s="195">
        <f t="shared" ref="O467:O472" ca="1" si="207">IF(L467&gt;0,N467*100/L467,0)</f>
        <v>34.156466530325694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98283</v>
      </c>
      <c r="M469" s="93">
        <f t="shared" si="209"/>
        <v>0</v>
      </c>
      <c r="N469" s="93">
        <f t="shared" si="209"/>
        <v>33570</v>
      </c>
      <c r="O469" s="93">
        <f t="shared" ca="1" si="207"/>
        <v>34.156466530325694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98283</v>
      </c>
      <c r="M470" s="497">
        <f t="shared" si="210"/>
        <v>0</v>
      </c>
      <c r="N470" s="497">
        <f t="shared" si="210"/>
        <v>33570</v>
      </c>
      <c r="O470" s="497">
        <f t="shared" ca="1" si="207"/>
        <v>34.156466530325694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IFERROR(__xludf.DUMMYFUNCTION("IMPORTRANGE(""https://docs.google.com/spreadsheets/d/1QqKyyYR6Q21VydFLVH3TRQUabQu_ym0Zz7PgGX0-kHA/edit?usp=sharing"",""แผน!FS87"")"),98283)</f>
        <v>98283</v>
      </c>
      <c r="M472" s="93">
        <v>0</v>
      </c>
      <c r="N472" s="93">
        <f>N473+N474+N475+N476</f>
        <v>33570</v>
      </c>
      <c r="O472" s="93">
        <f t="shared" ca="1" si="207"/>
        <v>34.156466530325694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f>13053+15550</f>
        <v>28603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f>1227+3740</f>
        <v>4967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IFERROR(__xludf.DUMMYFUNCTION("IMPORTRANGE(""https://docs.google.com/spreadsheets/d/1QqKyyYR6Q21VydFLVH3TRQUabQu_ym0Zz7PgGX0-kHA/edit?usp=sharing"",""แผน!FY87"")"),90)</f>
        <v>90</v>
      </c>
      <c r="J483" s="214">
        <v>90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IFERROR(__xludf.DUMMYFUNCTION("IMPORTRANGE(""https://docs.google.com/spreadsheets/d/1QqKyyYR6Q21VydFLVH3TRQUabQu_ym0Zz7PgGX0-kHA/edit?usp=sharing"",""แผน!FZ87"")"),9)</f>
        <v>9</v>
      </c>
      <c r="J485" s="214">
        <v>9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IFERROR(__xludf.DUMMYFUNCTION("IMPORTRANGE(""https://docs.google.com/spreadsheets/d/1QqKyyYR6Q21VydFLVH3TRQUabQu_ym0Zz7PgGX0-kHA/edit?usp=sharing"",""แผน!GA87"")"),10)</f>
        <v>10</v>
      </c>
      <c r="J487" s="214">
        <v>10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IFERROR(__xludf.DUMMYFUNCTION("IMPORTRANGE(""https://docs.google.com/spreadsheets/d/1QqKyyYR6Q21VydFLVH3TRQUabQu_ym0Zz7PgGX0-kHA/edit?usp=sharing"",""แผน!GB87"")"),1)</f>
        <v>1</v>
      </c>
      <c r="J489" s="214">
        <v>1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IFERROR(__xludf.DUMMYFUNCTION("IMPORTRANGE(""https://docs.google.com/spreadsheets/d/1QqKyyYR6Q21VydFLVH3TRQUabQu_ym0Zz7PgGX0-kHA/edit?usp=sharing"",""แผน!GC87"")"),1)</f>
        <v>1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IFERROR(__xludf.DUMMYFUNCTION("IMPORTRANGE(""https://docs.google.com/spreadsheets/d/1QqKyyYR6Q21VydFLVH3TRQUabQu_ym0Zz7PgGX0-kHA/edit?usp=sharing"",""แผน!FY87"")"),90)</f>
        <v>90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IFERROR(__xludf.DUMMYFUNCTION("IMPORTRANGE(""https://docs.google.com/spreadsheets/d/1QqKyyYR6Q21VydFLVH3TRQUabQu_ym0Zz7PgGX0-kHA/edit?usp=sharing"",""แผน!GA87"")"),10)</f>
        <v>10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IFERROR(__xludf.DUMMYFUNCTION("IMPORTRANGE(""https://docs.google.com/spreadsheets/d/1QqKyyYR6Q21VydFLVH3TRQUabQu_ym0Zz7PgGX0-kHA/edit?usp=sharing"",""แผน!GU87"")"),0)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IFERROR(__xludf.DUMMYFUNCTION("IMPORTRANGE(""https://docs.google.com/spreadsheets/d/1QqKyyYR6Q21VydFLVH3TRQUabQu_ym0Zz7PgGX0-kHA/edit?usp=sharing"",""แผน!GV87"")"),0)</f>
        <v>0</v>
      </c>
      <c r="J538" s="214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IFERROR(__xludf.DUMMYFUNCTION("IMPORTRANGE(""https://docs.google.com/spreadsheets/d/1QqKyyYR6Q21VydFLVH3TRQUabQu_ym0Zz7PgGX0-kHA/edit?usp=sharing"",""แผน!GW87"")"),0)</f>
        <v>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IFERROR(__xludf.DUMMYFUNCTION("IMPORTRANGE(""https://docs.google.com/spreadsheets/d/1QqKyyYR6Q21VydFLVH3TRQUabQu_ym0Zz7PgGX0-kHA/edit?usp=sharing"",""แผน!GX87"")"),0)</f>
        <v>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IFERROR(__xludf.DUMMYFUNCTION("IMPORTRANGE(""https://docs.google.com/spreadsheets/d/1QqKyyYR6Q21VydFLVH3TRQUabQu_ym0Zz7PgGX0-kHA/edit?usp=sharing"",""แผน!GY87"")"),0)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IFERROR(__xludf.DUMMYFUNCTION("IMPORTRANGE(""https://docs.google.com/spreadsheets/d/1QqKyyYR6Q21VydFLVH3TRQUabQu_ym0Zz7PgGX0-kHA/edit?usp=sharing"",""แผน!GZ87"")"),0)</f>
        <v>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10513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244123</v>
      </c>
      <c r="M544" s="155">
        <f t="shared" si="236"/>
        <v>0</v>
      </c>
      <c r="N544" s="155">
        <f t="shared" si="236"/>
        <v>28721</v>
      </c>
      <c r="O544" s="155">
        <f t="shared" ref="O544:O549" ca="1" si="237">IF(L544&gt;0,N544*100/L544,0)</f>
        <v>11.764970936781868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244123</v>
      </c>
      <c r="M546" s="93">
        <f t="shared" si="240"/>
        <v>0</v>
      </c>
      <c r="N546" s="93">
        <f t="shared" si="240"/>
        <v>28721</v>
      </c>
      <c r="O546" s="93">
        <f t="shared" ca="1" si="237"/>
        <v>11.764970936781868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244123</v>
      </c>
      <c r="M547" s="497">
        <f t="shared" si="241"/>
        <v>0</v>
      </c>
      <c r="N547" s="497">
        <f t="shared" si="241"/>
        <v>28721</v>
      </c>
      <c r="O547" s="497">
        <f t="shared" ca="1" si="237"/>
        <v>11.764970936781868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IFERROR(__xludf.DUMMYFUNCTION("IMPORTRANGE(""https://docs.google.com/spreadsheets/d/1QqKyyYR6Q21VydFLVH3TRQUabQu_ym0Zz7PgGX0-kHA/edit?usp=sharing"",""แผน!HB87"")"),244123)</f>
        <v>244123</v>
      </c>
      <c r="M549" s="93">
        <v>0</v>
      </c>
      <c r="N549" s="93">
        <f>N550+N551+N552+N553+N554</f>
        <v>28721</v>
      </c>
      <c r="O549" s="93">
        <f t="shared" ca="1" si="237"/>
        <v>11.764970936781868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12566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f>240+4490+8275+3150</f>
        <v>16155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10513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2768</v>
      </c>
      <c r="K560" s="411">
        <f t="shared" ca="1" si="246"/>
        <v>26.329306572814609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688</v>
      </c>
      <c r="K561" s="411">
        <f t="shared" ca="1" si="246"/>
        <v>37.575095576187877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2755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684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13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4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411</v>
      </c>
      <c r="J592" s="700">
        <f t="shared" si="253"/>
        <v>1</v>
      </c>
      <c r="K592" s="671">
        <f t="shared" ref="K592:K594" ca="1" si="254">IF(I592&gt;0,J592*100/I592,0)</f>
        <v>0.24330900243309003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IFERROR(__xludf.DUMMYFUNCTION("IMPORTRANGE(""https://docs.google.com/spreadsheets/d/1QqKyyYR6Q21VydFLVH3TRQUabQu_ym0Zz7PgGX0-kHA/edit?usp=sharing"",""แผน!HJ87"")"),411)</f>
        <v>411</v>
      </c>
      <c r="J593" s="193">
        <f t="shared" ref="J593:J594" si="255">J595+J603+J609</f>
        <v>1</v>
      </c>
      <c r="K593" s="411">
        <f t="shared" ca="1" si="254"/>
        <v>0.24330900243309003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5</v>
      </c>
      <c r="K594" s="411">
        <f t="shared" ca="1" si="254"/>
        <v>11.363636363636363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1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1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5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IFERROR(__xludf.DUMMYFUNCTION("IMPORTRANGE(""https://docs.google.com/spreadsheets/d/1QqKyyYR6Q21VydFLVH3TRQUabQu_ym0Zz7PgGX0-kHA/edit?usp=sharing"",""แผน!HL87"")"),0)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IFERROR(__xludf.DUMMYFUNCTION("IMPORTRANGE(""https://docs.google.com/spreadsheets/d/1QqKyyYR6Q21VydFLVH3TRQUabQu_ym0Zz7PgGX0-kHA/edit?usp=sharing"",""แผน!HK87"")"),0)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IFERROR(__xludf.DUMMYFUNCTION("IMPORTRANGE(""https://docs.google.com/spreadsheets/d/1QqKyyYR6Q21VydFLVH3TRQUabQu_ym0Zz7PgGX0-kHA/edit?usp=sharing"",""แผน!HR87"")"),0)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IFERROR(__xludf.DUMMYFUNCTION("IMPORTRANGE(""https://docs.google.com/spreadsheets/d/1QqKyyYR6Q21VydFLVH3TRQUabQu_ym0Zz7PgGX0-kHA/edit?usp=sharing"",""แผน!HR87"")"),0)</f>
        <v>0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IFERROR(__xludf.DUMMYFUNCTION("IMPORTRANGE(""https://docs.google.com/spreadsheets/d/1QqKyyYR6Q21VydFLVH3TRQUabQu_ym0Zz7PgGX0-kHA/edit?usp=sharing"",""แผน!HS87"")"),0)</f>
        <v>0</v>
      </c>
      <c r="J647" s="269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IFERROR(__xludf.DUMMYFUNCTION("IMPORTRANGE(""https://docs.google.com/spreadsheets/d/1QqKyyYR6Q21VydFLVH3TRQUabQu_ym0Zz7PgGX0-kHA/edit?usp=sharing"",""แผน!HS87"")"),0)</f>
        <v>0</v>
      </c>
      <c r="J649" s="269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IFERROR(__xludf.DUMMYFUNCTION("IMPORTRANGE(""https://docs.google.com/spreadsheets/d/1QqKyyYR6Q21VydFLVH3TRQUabQu_ym0Zz7PgGX0-kHA/edit?usp=sharing"",""แผน!HS87"")"),0)</f>
        <v>0</v>
      </c>
      <c r="J651" s="269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IFERROR(__xludf.DUMMYFUNCTION("IMPORTRANGE(""https://docs.google.com/spreadsheets/d/1XWAQStnk-4SwqDmLtmXYiTMKHgktTP8We1SCoS47DrQ/edit?usp=sharing"",""จัดที่ดิน!AZ87"")"),0)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IFERROR(__xludf.DUMMYFUNCTION("IMPORTRANGE(""https://docs.google.com/spreadsheets/d/1QqKyyYR6Q21VydFLVH3TRQUabQu_ym0Zz7PgGX0-kHA/edit?usp=sharing"",""แผน!IA87"")"),0)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IFERROR(__xludf.DUMMYFUNCTION("IMPORTRANGE(""https://docs.google.com/spreadsheets/d/1QqKyyYR6Q21VydFLVH3TRQUabQu_ym0Zz7PgGX0-kHA/edit?usp=sharing"",""แผน!HZ87"")"),0)</f>
        <v>0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IFERROR(__xludf.DUMMYFUNCTION("IMPORTRANGE(""https://docs.google.com/spreadsheets/d/1QqKyyYR6Q21VydFLVH3TRQUabQu_ym0Zz7PgGX0-kHA/edit?usp=sharing"",""แผน!HZ87"")"),0)</f>
        <v>0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IFERROR(__xludf.DUMMYFUNCTION("IMPORTRANGE(""https://docs.google.com/spreadsheets/d/1QqKyyYR6Q21VydFLVH3TRQUabQu_ym0Zz7PgGX0-kHA/edit?usp=sharing"",""แผน!IB87"")"),0)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IFERROR(__xludf.DUMMYFUNCTION("IMPORTRANGE(""https://docs.google.com/spreadsheets/d/1QqKyyYR6Q21VydFLVH3TRQUabQu_ym0Zz7PgGX0-kHA/edit?usp=sharing"",""แผน!IC87"")"),0)</f>
        <v>0</v>
      </c>
      <c r="J699" s="269">
        <f ca="1">IFERROR(__xludf.DUMMYFUNCTION("IMPORTRANGE(""https://docs.google.com/spreadsheets/d/1XWAQStnk-4SwqDmLtmXYiTMKHgktTP8We1SCoS47DrQ/edit?usp=sharing"",""จัดที่ดิน!BB87"")"),0)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IFERROR(__xludf.DUMMYFUNCTION("IMPORTRANGE(""https://docs.google.com/spreadsheets/d/1QqKyyYR6Q21VydFLVH3TRQUabQu_ym0Zz7PgGX0-kHA/edit?usp=sharing"",""แผน!ID87"")"),0)</f>
        <v>0</v>
      </c>
      <c r="J700" s="269">
        <f ca="1">IFERROR(__xludf.DUMMYFUNCTION("IMPORTRANGE(""https://docs.google.com/spreadsheets/d/1XWAQStnk-4SwqDmLtmXYiTMKHgktTP8We1SCoS47DrQ/edit?usp=sharing"",""จัดที่ดิน!BD87"")"),0)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IFERROR(__xludf.DUMMYFUNCTION("IMPORTRANGE(""https://docs.google.com/spreadsheets/d/1QqKyyYR6Q21VydFLVH3TRQUabQu_ym0Zz7PgGX0-kHA/edit?usp=sharing"",""แผน!IE87"")"),0)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IFERROR(__xludf.DUMMYFUNCTION("IMPORTRANGE(""https://docs.google.com/spreadsheets/d/1QqKyyYR6Q21VydFLVH3TRQUabQu_ym0Zz7PgGX0-kHA/edit?usp=sharing"",""แผน!IF87"")"),0)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IFERROR(__xludf.DUMMYFUNCTION("IMPORTRANGE(""https://docs.google.com/spreadsheets/d/1QqKyyYR6Q21VydFLVH3TRQUabQu_ym0Zz7PgGX0-kHA/edit?usp=sharing"",""แผน!IG87"")"),0)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IFERROR(__xludf.DUMMYFUNCTION("IMPORTRANGE(""https://docs.google.com/spreadsheets/d/1QqKyyYR6Q21VydFLVH3TRQUabQu_ym0Zz7PgGX0-kHA/edit?usp=sharing"",""แผน!IH87"")"),0)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IFERROR(__xludf.DUMMYFUNCTION("IMPORTRANGE(""https://docs.google.com/spreadsheets/d/1XWAQStnk-4SwqDmLtmXYiTMKHgktTP8We1SCoS47DrQ/edit?usp=sharing"",""จัดที่ดิน!BF87"")"),0)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IFERROR(__xludf.DUMMYFUNCTION("IMPORTRANGE(""https://docs.google.com/spreadsheets/d/1XWAQStnk-4SwqDmLtmXYiTMKHgktTP8We1SCoS47DrQ/edit?usp=sharing"",""จัดที่ดิน!BG87"")"),0)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IFERROR(__xludf.DUMMYFUNCTION("IMPORTRANGE(""https://docs.google.com/spreadsheets/d/1QqKyyYR6Q21VydFLVH3TRQUabQu_ym0Zz7PgGX0-kHA/edit?usp=sharing"",""แผน!II87"")"),0)</f>
        <v>0</v>
      </c>
      <c r="J720" s="269">
        <f ca="1">IFERROR(__xludf.DUMMYFUNCTION("IMPORTRANGE(""https://docs.google.com/spreadsheets/d/1XWAQStnk-4SwqDmLtmXYiTMKHgktTP8We1SCoS47DrQ/edit?usp=sharing"",""จัดที่ดิน!BH87"")"),0)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IFERROR(__xludf.DUMMYFUNCTION("IMPORTRANGE(""https://docs.google.com/spreadsheets/d/1QqKyyYR6Q21VydFLVH3TRQUabQu_ym0Zz7PgGX0-kHA/edit?usp=sharing"",""แผน!IJ87"")"),0)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IFERROR(__xludf.DUMMYFUNCTION("IMPORTRANGE(""https://docs.google.com/spreadsheets/d/1QqKyyYR6Q21VydFLVH3TRQUabQu_ym0Zz7PgGX0-kHA/edit?usp=sharing"",""แผน!IK87"")"),0)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IFERROR(__xludf.DUMMYFUNCTION("IMPORTRANGE(""https://docs.google.com/spreadsheets/d/1QqKyyYR6Q21VydFLVH3TRQUabQu_ym0Zz7PgGX0-kHA/edit?usp=sharing"",""แผน!IL87"")"),0)</f>
        <v>0</v>
      </c>
      <c r="J723" s="269">
        <f ca="1">IFERROR(__xludf.DUMMYFUNCTION("IMPORTRANGE(""https://docs.google.com/spreadsheets/d/1XWAQStnk-4SwqDmLtmXYiTMKHgktTP8We1SCoS47DrQ/edit?usp=sharing"",""จัดที่ดิน!BM87"")"),0)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IFERROR(__xludf.DUMMYFUNCTION("IMPORTRANGE(""https://docs.google.com/spreadsheets/d/1XWAQStnk-4SwqDmLtmXYiTMKHgktTP8We1SCoS47DrQ/edit?usp=sharing"",""จัดที่ดิน!BN87"")"),0)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IFERROR(__xludf.DUMMYFUNCTION("IMPORTRANGE(""https://docs.google.com/spreadsheets/d/1QqKyyYR6Q21VydFLVH3TRQUabQu_ym0Zz7PgGX0-kHA/edit?usp=sharing"",""แผน!IM87"")"),0)</f>
        <v>0</v>
      </c>
      <c r="J725" s="269">
        <f ca="1">IFERROR(__xludf.DUMMYFUNCTION("IMPORTRANGE(""https://docs.google.com/spreadsheets/d/1XWAQStnk-4SwqDmLtmXYiTMKHgktTP8We1SCoS47DrQ/edit?usp=sharing"",""จัดที่ดิน!BO87"")"),0)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IFERROR(__xludf.DUMMYFUNCTION("IMPORTRANGE(""https://docs.google.com/spreadsheets/d/1QqKyyYR6Q21VydFLVH3TRQUabQu_ym0Zz7PgGX0-kHA/edit?usp=sharing"",""แผน!IN87"")"),0)</f>
        <v>0</v>
      </c>
      <c r="J726" s="269">
        <f ca="1">IFERROR(__xludf.DUMMYFUNCTION("IMPORTRANGE(""https://docs.google.com/spreadsheets/d/1XWAQStnk-4SwqDmLtmXYiTMKHgktTP8We1SCoS47DrQ/edit?usp=sharing"",""จัดที่ดิน!BR87"")"),0)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IFERROR(__xludf.DUMMYFUNCTION("IMPORTRANGE(""https://docs.google.com/spreadsheets/d/1XWAQStnk-4SwqDmLtmXYiTMKHgktTP8We1SCoS47DrQ/edit?usp=sharing"",""จัดที่ดิน!BS87"")"),0)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IFERROR(__xludf.DUMMYFUNCTION("IMPORTRANGE(""https://docs.google.com/spreadsheets/d/1QqKyyYR6Q21VydFLVH3TRQUabQu_ym0Zz7PgGX0-kHA/edit?usp=sharing"",""แผน!IO87"")"),0)</f>
        <v>0</v>
      </c>
      <c r="J728" s="269">
        <f ca="1">IFERROR(__xludf.DUMMYFUNCTION("IMPORTRANGE(""https://docs.google.com/spreadsheets/d/1XWAQStnk-4SwqDmLtmXYiTMKHgktTP8We1SCoS47DrQ/edit?usp=sharing"",""จัดที่ดิน!BT87"")"),0)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IFERROR(__xludf.DUMMYFUNCTION("IMPORTRANGE(""https://docs.google.com/spreadsheets/d/1QqKyyYR6Q21VydFLVH3TRQUabQu_ym0Zz7PgGX0-kHA/edit?usp=sharing"",""แผน!IP87"")"),0)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IFERROR(__xludf.DUMMYFUNCTION("IMPORTRANGE(""https://docs.google.com/spreadsheets/d/1MaWodYyGHDf7siQLGxnXhG4mBNTNIuy296niS2xXulU/edit?usp=sharing"",""RTK!I87"")"),0)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341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69">
        <f ca="1">IFERROR(__xludf.DUMMYFUNCTION("IMPORTRANGE(""https://docs.google.com/spreadsheets/d/19vJNZY_5yjcGF2XGBMNZRCAIB0Kwfpjp8YEOfu-bneM/edit?usp=sharing"",""งานกองทุน!F87"")"),17000)</f>
        <v>17000</v>
      </c>
      <c r="K821" s="497">
        <f t="shared" ref="K821:K828" ca="1" si="335">IF(I821&gt;0,J821*100/I821,0)</f>
        <v>4.4917195282605915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IFERROR(__xludf.DUMMYFUNCTION("IMPORTRANGE(""https://docs.google.com/spreadsheets/d/19vJNZY_5yjcGF2XGBMNZRCAIB0Kwfpjp8YEOfu-bneM/edit?usp=sharing"",""งานกองทุน!C87"")"),42)</f>
        <v>42</v>
      </c>
      <c r="J822" s="269">
        <f ca="1">IFERROR(__xludf.DUMMYFUNCTION("IMPORTRANGE(""https://docs.google.com/spreadsheets/d/19vJNZY_5yjcGF2XGBMNZRCAIB0Kwfpjp8YEOfu-bneM/edit?usp=sharing"",""งานกองทุน!E87"")"),1)</f>
        <v>1</v>
      </c>
      <c r="K822" s="497">
        <f t="shared" ca="1" si="335"/>
        <v>2.3809523809523809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69">
        <f ca="1">IFERROR(__xludf.DUMMYFUNCTION("IMPORTRANGE(""https://docs.google.com/spreadsheets/d/19vJNZY_5yjcGF2XGBMNZRCAIB0Kwfpjp8YEOfu-bneM/edit?usp=sharing"",""งานกองทุน!K87"")"),990.63)</f>
        <v>990.63</v>
      </c>
      <c r="K823" s="497">
        <f t="shared" ca="1" si="335"/>
        <v>10.118143571966259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IFERROR(__xludf.DUMMYFUNCTION("IMPORTRANGE(""https://docs.google.com/spreadsheets/d/19vJNZY_5yjcGF2XGBMNZRCAIB0Kwfpjp8YEOfu-bneM/edit?usp=sharing"",""งานกองทุน!H87"")"),1)</f>
        <v>1</v>
      </c>
      <c r="J824" s="269">
        <f ca="1">IFERROR(__xludf.DUMMYFUNCTION("IMPORTRANGE(""https://docs.google.com/spreadsheets/d/19vJNZY_5yjcGF2XGBMNZRCAIB0Kwfpjp8YEOfu-bneM/edit?usp=sharing"",""งานกองทุน!J87"")"),1)</f>
        <v>1</v>
      </c>
      <c r="K824" s="497">
        <f t="shared" ca="1" si="335"/>
        <v>100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IFERROR(__xludf.DUMMYFUNCTION("IMPORTRANGE(""https://docs.google.com/spreadsheets/d/19vJNZY_5yjcGF2XGBMNZRCAIB0Kwfpjp8YEOfu-bneM/edit?usp=sharing"",""งานกองทุน!N87"")"),0)</f>
        <v>0</v>
      </c>
      <c r="J825" s="269">
        <f ca="1">IFERROR(__xludf.DUMMYFUNCTION("IMPORTRANGE(""https://docs.google.com/spreadsheets/d/19vJNZY_5yjcGF2XGBMNZRCAIB0Kwfpjp8YEOfu-bneM/edit?usp=sharing"",""งานกองทุน!P87"")"),0)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IFERROR(__xludf.DUMMYFUNCTION("IMPORTRANGE(""https://docs.google.com/spreadsheets/d/19vJNZY_5yjcGF2XGBMNZRCAIB0Kwfpjp8YEOfu-bneM/edit?usp=sharing"",""งานกองทุน!M87"")"),0)</f>
        <v>0</v>
      </c>
      <c r="J826" s="269">
        <f ca="1">IFERROR(__xludf.DUMMYFUNCTION("IMPORTRANGE(""https://docs.google.com/spreadsheets/d/19vJNZY_5yjcGF2XGBMNZRCAIB0Kwfpjp8YEOfu-bneM/edit?usp=sharing"",""งานกองทุน!O87"")"),0)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IFERROR(__xludf.DUMMYFUNCTION("IMPORTRANGE(""https://docs.google.com/spreadsheets/d/19vJNZY_5yjcGF2XGBMNZRCAIB0Kwfpjp8YEOfu-bneM/edit?usp=sharing"",""งานกองทุน!S87"")"),780000)</f>
        <v>780000</v>
      </c>
      <c r="J827" s="269">
        <f ca="1">IFERROR(__xludf.DUMMYFUNCTION("IMPORTRANGE(""https://docs.google.com/spreadsheets/d/19vJNZY_5yjcGF2XGBMNZRCAIB0Kwfpjp8YEOfu-bneM/edit?usp=sharing"",""งานกองทุน!U87"")"),120000)</f>
        <v>120000</v>
      </c>
      <c r="K827" s="497">
        <f t="shared" ca="1" si="335"/>
        <v>15.384615384615385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IFERROR(__xludf.DUMMYFUNCTION("IMPORTRANGE(""https://docs.google.com/spreadsheets/d/19vJNZY_5yjcGF2XGBMNZRCAIB0Kwfpjp8YEOfu-bneM/edit?usp=sharing"",""งานกองทุน!R87"")"),31)</f>
        <v>31</v>
      </c>
      <c r="J828" s="500">
        <f ca="1">IFERROR(__xludf.DUMMYFUNCTION("IMPORTRANGE(""https://docs.google.com/spreadsheets/d/19vJNZY_5yjcGF2XGBMNZRCAIB0Kwfpjp8YEOfu-bneM/edit?usp=sharing"",""งานกองทุน!T87"")"),4)</f>
        <v>4</v>
      </c>
      <c r="K828" s="501">
        <f t="shared" ca="1" si="335"/>
        <v>12.903225806451612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ADF28-2F44-4CE9-8E75-80228FE1B1E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353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6827172</v>
      </c>
      <c r="M8" s="22">
        <f t="shared" ca="1" si="0"/>
        <v>2699896</v>
      </c>
      <c r="N8" s="22">
        <f t="shared" ca="1" si="0"/>
        <v>1840980.7399999998</v>
      </c>
      <c r="O8" s="22">
        <f t="shared" ref="O8:O16" ca="1" si="1">IF(L8&gt;0,N8*100/L8,0)</f>
        <v>26.965495229942935</v>
      </c>
      <c r="P8" s="22">
        <f t="shared" ref="P8:P16" ca="1" si="2">IF(M8&gt;0,N8*100/M8,0)</f>
        <v>68.187098317861128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6827172</v>
      </c>
      <c r="M10" s="30">
        <f t="shared" ca="1" si="3"/>
        <v>2699896</v>
      </c>
      <c r="N10" s="30">
        <f t="shared" ca="1" si="3"/>
        <v>1840980.7399999998</v>
      </c>
      <c r="O10" s="30">
        <f t="shared" ca="1" si="1"/>
        <v>26.965495229942935</v>
      </c>
      <c r="P10" s="30">
        <f t="shared" ca="1" si="2"/>
        <v>68.187098317861128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6358572</v>
      </c>
      <c r="M11" s="497">
        <f t="shared" ca="1" si="4"/>
        <v>2263896</v>
      </c>
      <c r="N11" s="497">
        <f t="shared" ca="1" si="4"/>
        <v>1404980.7399999998</v>
      </c>
      <c r="O11" s="497">
        <f t="shared" ca="1" si="1"/>
        <v>22.095853282781096</v>
      </c>
      <c r="P11" s="497">
        <f t="shared" ca="1" si="2"/>
        <v>62.06030400689783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6358572</v>
      </c>
      <c r="M13" s="93">
        <f t="shared" ca="1" si="5"/>
        <v>2263896</v>
      </c>
      <c r="N13" s="93">
        <f t="shared" ca="1" si="5"/>
        <v>1404980.7399999998</v>
      </c>
      <c r="O13" s="93">
        <f t="shared" ca="1" si="1"/>
        <v>22.095853282781096</v>
      </c>
      <c r="P13" s="93">
        <f t="shared" ca="1" si="2"/>
        <v>62.06030400689783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468600</v>
      </c>
      <c r="M14" s="497">
        <f t="shared" ca="1" si="6"/>
        <v>436000</v>
      </c>
      <c r="N14" s="497">
        <f t="shared" ca="1" si="6"/>
        <v>436000</v>
      </c>
      <c r="O14" s="497">
        <f t="shared" ca="1" si="1"/>
        <v>93.043107127614164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2699896</v>
      </c>
      <c r="N18" s="22">
        <f t="shared" ca="1" si="8"/>
        <v>1522707.91</v>
      </c>
      <c r="O18" s="22">
        <f t="shared" ref="O18:O26" ca="1" si="9">IF(L18&gt;0,N18*100/L18,0)</f>
        <v>30.62600684963467</v>
      </c>
      <c r="P18" s="22">
        <f t="shared" ref="P18:P26" ca="1" si="10">IF(M18&gt;0,N18*100/M18,0)</f>
        <v>56.398761656004531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2699896</v>
      </c>
      <c r="N20" s="30">
        <f t="shared" ca="1" si="11"/>
        <v>1522707.91</v>
      </c>
      <c r="O20" s="30">
        <f t="shared" ca="1" si="9"/>
        <v>30.62600684963467</v>
      </c>
      <c r="P20" s="30">
        <f t="shared" ca="1" si="10"/>
        <v>56.398761656004531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4503344</v>
      </c>
      <c r="M21" s="497">
        <f t="shared" ca="1" si="12"/>
        <v>2263896</v>
      </c>
      <c r="N21" s="497">
        <f t="shared" ca="1" si="12"/>
        <v>1086707.9099999999</v>
      </c>
      <c r="O21" s="497">
        <f t="shared" ca="1" si="9"/>
        <v>24.131132553942134</v>
      </c>
      <c r="P21" s="497">
        <f t="shared" ca="1" si="10"/>
        <v>48.001671013156077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4503344</v>
      </c>
      <c r="M23" s="93">
        <f t="shared" ca="1" si="13"/>
        <v>2263896</v>
      </c>
      <c r="N23" s="93">
        <f t="shared" ca="1" si="13"/>
        <v>1086707.9099999999</v>
      </c>
      <c r="O23" s="93">
        <f t="shared" ca="1" si="9"/>
        <v>24.131132553942134</v>
      </c>
      <c r="P23" s="93">
        <f t="shared" ca="1" si="10"/>
        <v>48.001671013156077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468600</v>
      </c>
      <c r="M24" s="497">
        <f t="shared" ca="1" si="14"/>
        <v>436000</v>
      </c>
      <c r="N24" s="497">
        <f t="shared" ca="1" si="14"/>
        <v>436000</v>
      </c>
      <c r="O24" s="497">
        <f t="shared" ca="1" si="9"/>
        <v>93.043107127614164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1855228</v>
      </c>
      <c r="M28" s="22">
        <f t="shared" si="16"/>
        <v>0</v>
      </c>
      <c r="N28" s="22">
        <f t="shared" si="16"/>
        <v>318272.82999999996</v>
      </c>
      <c r="O28" s="22">
        <f t="shared" ref="O28:O37" ca="1" si="17">IF(L28&gt;0,N28*100/L28,0)</f>
        <v>17.155456364392947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1855228</v>
      </c>
      <c r="M30" s="30">
        <f t="shared" si="19"/>
        <v>0</v>
      </c>
      <c r="N30" s="30">
        <f t="shared" si="19"/>
        <v>318272.82999999996</v>
      </c>
      <c r="O30" s="30">
        <f t="shared" ca="1" si="17"/>
        <v>17.155456364392947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1855228</v>
      </c>
      <c r="M31" s="497">
        <f t="shared" si="20"/>
        <v>0</v>
      </c>
      <c r="N31" s="497">
        <f t="shared" si="20"/>
        <v>318272.82999999996</v>
      </c>
      <c r="O31" s="497">
        <f t="shared" ca="1" si="17"/>
        <v>17.155456364392947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1855228</v>
      </c>
      <c r="M33" s="93">
        <f t="shared" si="21"/>
        <v>0</v>
      </c>
      <c r="N33" s="93">
        <f t="shared" si="21"/>
        <v>318272.82999999996</v>
      </c>
      <c r="O33" s="93">
        <f t="shared" ca="1" si="17"/>
        <v>17.155456364392947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4971944</v>
      </c>
      <c r="M37" s="59">
        <f t="shared" ca="1" si="24"/>
        <v>2699896</v>
      </c>
      <c r="N37" s="59">
        <f t="shared" ca="1" si="24"/>
        <v>1522707.91</v>
      </c>
      <c r="O37" s="59">
        <f t="shared" ca="1" si="17"/>
        <v>30.62600684963467</v>
      </c>
      <c r="P37" s="59">
        <f t="shared" ca="1" si="18"/>
        <v>56.398761656004531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348931</v>
      </c>
      <c r="N41" s="85">
        <f t="shared" ca="1" si="25"/>
        <v>177117</v>
      </c>
      <c r="O41" s="85">
        <f t="shared" ref="O41:O49" ca="1" si="26">IF(L41&gt;0,N41*100/L41,0)</f>
        <v>26.232987592736041</v>
      </c>
      <c r="P41" s="85">
        <f t="shared" ref="P41:P49" ca="1" si="27">IF(M41&gt;0,N41*100/M41,0)</f>
        <v>50.759892356941627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348931</v>
      </c>
      <c r="N43" s="92">
        <f t="shared" ca="1" si="28"/>
        <v>177117</v>
      </c>
      <c r="O43" s="92">
        <f t="shared" ca="1" si="26"/>
        <v>26.232987592736041</v>
      </c>
      <c r="P43" s="92">
        <f t="shared" ca="1" si="27"/>
        <v>50.759892356941627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675169</v>
      </c>
      <c r="M44" s="497">
        <f t="shared" ca="1" si="29"/>
        <v>348931</v>
      </c>
      <c r="N44" s="497">
        <f t="shared" ca="1" si="29"/>
        <v>177117</v>
      </c>
      <c r="O44" s="497">
        <f t="shared" ca="1" si="26"/>
        <v>26.232987592736041</v>
      </c>
      <c r="P44" s="497">
        <f t="shared" ca="1" si="27"/>
        <v>50.759892356941627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IFERROR(__xludf.DUMMYFUNCTION("IMPORTRANGE(""https://docs.google.com/spreadsheets/d/1MeEWN-I1oV_STSDYn1IFDPWt_1FKiwhDph83XaGc0o0/edit?usp=sharing"",""งบพรบ!R88"")"),348931)</f>
        <v>348931</v>
      </c>
      <c r="N46" s="93">
        <f ca="1">IFERROR(__xludf.DUMMYFUNCTION("IMPORTRANGE(""https://docs.google.com/spreadsheets/d/1MeEWN-I1oV_STSDYn1IFDPWt_1FKiwhDph83XaGc0o0/edit?usp=sharing"",""งบพรบ!T88"")"),177117)</f>
        <v>177117</v>
      </c>
      <c r="O46" s="93">
        <f t="shared" ca="1" si="26"/>
        <v>26.232987592736041</v>
      </c>
      <c r="P46" s="93">
        <f t="shared" ca="1" si="27"/>
        <v>50.759892356941627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371800</v>
      </c>
      <c r="N53" s="116">
        <f t="shared" ca="1" si="31"/>
        <v>284445.45</v>
      </c>
      <c r="O53" s="116">
        <f t="shared" ref="O53:O61" ca="1" si="32">IF(L53&gt;0,N53*100/L53,0)</f>
        <v>44.20973733291887</v>
      </c>
      <c r="P53" s="116">
        <f t="shared" ref="P53:P61" ca="1" si="33">IF(M53&gt;0,N53*100/M53,0)</f>
        <v>76.504962345346968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371800</v>
      </c>
      <c r="N55" s="123">
        <f t="shared" ca="1" si="34"/>
        <v>284445.45</v>
      </c>
      <c r="O55" s="123">
        <f t="shared" ca="1" si="32"/>
        <v>44.20973733291887</v>
      </c>
      <c r="P55" s="123">
        <f t="shared" ca="1" si="33"/>
        <v>76.504962345346968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532400</v>
      </c>
      <c r="M56" s="497">
        <f t="shared" ca="1" si="35"/>
        <v>266200</v>
      </c>
      <c r="N56" s="497">
        <f t="shared" ca="1" si="35"/>
        <v>178845.45</v>
      </c>
      <c r="O56" s="497">
        <f t="shared" ca="1" si="32"/>
        <v>33.592308414725771</v>
      </c>
      <c r="P56" s="497">
        <f t="shared" ca="1" si="33"/>
        <v>67.184616829451542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IFERROR(__xludf.DUMMYFUNCTION("IMPORTRANGE(""https://docs.google.com/spreadsheets/d/1MeEWN-I1oV_STSDYn1IFDPWt_1FKiwhDph83XaGc0o0/edit?usp=sharing"",""งบพรบ!AB88"")"),266200)</f>
        <v>266200</v>
      </c>
      <c r="N58" s="93">
        <f ca="1">IFERROR(__xludf.DUMMYFUNCTION("IMPORTRANGE(""https://docs.google.com/spreadsheets/d/1MeEWN-I1oV_STSDYn1IFDPWt_1FKiwhDph83XaGc0o0/edit?usp=sharing"",""งบพรบ!AD88"")"),178845.45)</f>
        <v>178845.45</v>
      </c>
      <c r="O58" s="93">
        <f t="shared" ca="1" si="32"/>
        <v>33.592308414725771</v>
      </c>
      <c r="P58" s="93">
        <f t="shared" ca="1" si="33"/>
        <v>67.184616829451542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111000</v>
      </c>
      <c r="M59" s="497">
        <f t="shared" ca="1" si="36"/>
        <v>105600</v>
      </c>
      <c r="N59" s="497">
        <f t="shared" ca="1" si="36"/>
        <v>105600</v>
      </c>
      <c r="O59" s="497">
        <f t="shared" ca="1" si="32"/>
        <v>95.13513513513513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185000</v>
      </c>
      <c r="N66" s="155">
        <f t="shared" ca="1" si="39"/>
        <v>110070</v>
      </c>
      <c r="O66" s="155">
        <f t="shared" ref="O66:O74" ca="1" si="40">IF(L66&gt;0,N66*100/L66,0)</f>
        <v>28.6640625</v>
      </c>
      <c r="P66" s="155">
        <f t="shared" ref="P66:P74" ca="1" si="41">IF(M66&gt;0,N66*100/M66,0)</f>
        <v>59.497297297297294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384000</v>
      </c>
      <c r="M68" s="93">
        <f t="shared" ca="1" si="42"/>
        <v>185000</v>
      </c>
      <c r="N68" s="93">
        <f t="shared" ca="1" si="42"/>
        <v>110070</v>
      </c>
      <c r="O68" s="93">
        <f t="shared" ca="1" si="40"/>
        <v>28.6640625</v>
      </c>
      <c r="P68" s="93">
        <f t="shared" ca="1" si="41"/>
        <v>59.497297297297294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384000</v>
      </c>
      <c r="M69" s="497">
        <f t="shared" ca="1" si="43"/>
        <v>185000</v>
      </c>
      <c r="N69" s="497">
        <f t="shared" ca="1" si="43"/>
        <v>110070</v>
      </c>
      <c r="O69" s="497">
        <f t="shared" ca="1" si="40"/>
        <v>28.6640625</v>
      </c>
      <c r="P69" s="497">
        <f t="shared" ca="1" si="41"/>
        <v>59.497297297297294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IFERROR(__xludf.DUMMYFUNCTION("IMPORTRANGE(""https://docs.google.com/spreadsheets/d/1MeEWN-I1oV_STSDYn1IFDPWt_1FKiwhDph83XaGc0o0/edit?usp=sharing"",""งบพรบ!AL88"")"),185000)</f>
        <v>185000</v>
      </c>
      <c r="N71" s="93">
        <f ca="1">IFERROR(__xludf.DUMMYFUNCTION("IMPORTRANGE(""https://docs.google.com/spreadsheets/d/1MeEWN-I1oV_STSDYn1IFDPWt_1FKiwhDph83XaGc0o0/edit?usp=sharing"",""งบพรบ!AN88"")"),110070)</f>
        <v>110070</v>
      </c>
      <c r="O71" s="93">
        <f t="shared" ca="1" si="40"/>
        <v>28.6640625</v>
      </c>
      <c r="P71" s="93">
        <f t="shared" ca="1" si="41"/>
        <v>59.497297297297294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30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21840</v>
      </c>
      <c r="N88" s="155">
        <f t="shared" ca="1" si="49"/>
        <v>9800</v>
      </c>
      <c r="O88" s="155">
        <f t="shared" ref="O88:O96" ca="1" si="50">IF(L88&gt;0,N88*100/L88,0)</f>
        <v>17.48750892219843</v>
      </c>
      <c r="P88" s="155">
        <f t="shared" ref="P88:P96" ca="1" si="51">IF(M88&gt;0,N88*100/M88,0)</f>
        <v>44.871794871794869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56040</v>
      </c>
      <c r="M90" s="93">
        <f t="shared" ca="1" si="52"/>
        <v>21840</v>
      </c>
      <c r="N90" s="93">
        <f t="shared" ca="1" si="52"/>
        <v>9800</v>
      </c>
      <c r="O90" s="93">
        <f t="shared" ca="1" si="50"/>
        <v>17.48750892219843</v>
      </c>
      <c r="P90" s="93">
        <f t="shared" ca="1" si="51"/>
        <v>44.871794871794869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21840</v>
      </c>
      <c r="N91" s="497">
        <f t="shared" ca="1" si="53"/>
        <v>9800</v>
      </c>
      <c r="O91" s="497">
        <f t="shared" ca="1" si="50"/>
        <v>17.48750892219843</v>
      </c>
      <c r="P91" s="497">
        <f t="shared" ca="1" si="51"/>
        <v>44.871794871794869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IFERROR(__xludf.DUMMYFUNCTION("IMPORTRANGE(""https://docs.google.com/spreadsheets/d/1MeEWN-I1oV_STSDYn1IFDPWt_1FKiwhDph83XaGc0o0/edit?usp=sharing"",""งบพรบ!AV88"")"),21840)</f>
        <v>21840</v>
      </c>
      <c r="N93" s="93">
        <f ca="1">IFERROR(__xludf.DUMMYFUNCTION("IMPORTRANGE(""https://docs.google.com/spreadsheets/d/1MeEWN-I1oV_STSDYn1IFDPWt_1FKiwhDph83XaGc0o0/edit?usp=sharing"",""งบพรบ!AX88"")"),9800)</f>
        <v>9800</v>
      </c>
      <c r="O93" s="93">
        <f t="shared" ca="1" si="50"/>
        <v>17.48750892219843</v>
      </c>
      <c r="P93" s="93">
        <f t="shared" ca="1" si="51"/>
        <v>44.871794871794869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IFERROR(__xludf.DUMMYFUNCTION("IMPORTRANGE(""https://docs.google.com/spreadsheets/d/1QqKyyYR6Q21VydFLVH3TRQUabQu_ym0Zz7PgGX0-kHA/edit?usp=sharing"",""แผน!K88"")"),30)</f>
        <v>30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IFERROR(__xludf.DUMMYFUNCTION("IMPORTRANGE(""https://docs.google.com/spreadsheets/d/1QqKyyYR6Q21VydFLVH3TRQUabQu_ym0Zz7PgGX0-kHA/edit?usp=sharing"",""แผน!L88"")"),10)</f>
        <v>10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IFERROR(__xludf.DUMMYFUNCTION("IMPORTRANGE(""https://docs.google.com/spreadsheets/d/1QqKyyYR6Q21VydFLVH3TRQUabQu_ym0Zz7PgGX0-kHA/edit?usp=sharing"",""แผน!M88"")"),1)</f>
        <v>1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IFERROR(__xludf.DUMMYFUNCTION("IMPORTRANGE(""https://docs.google.com/spreadsheets/d/1QqKyyYR6Q21VydFLVH3TRQUabQu_ym0Zz7PgGX0-kHA/edit?usp=sharing"",""แผน!N88"")"),30)</f>
        <v>30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IFERROR(__xludf.DUMMYFUNCTION("IMPORTRANGE(""https://docs.google.com/spreadsheets/d/1QqKyyYR6Q21VydFLVH3TRQUabQu_ym0Zz7PgGX0-kHA/edit?usp=sharing"",""แผน!O88"")"),10)</f>
        <v>10</v>
      </c>
      <c r="J103" s="214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IFERROR(__xludf.DUMMYFUNCTION("IMPORTRANGE(""https://docs.google.com/spreadsheets/d/1QqKyyYR6Q21VydFLVH3TRQUabQu_ym0Zz7PgGX0-kHA/edit?usp=sharing"",""แผน!O88"")"),10)</f>
        <v>10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IFERROR(__xludf.DUMMYFUNCTION("IMPORTRANGE(""https://docs.google.com/spreadsheets/d/1QqKyyYR6Q21VydFLVH3TRQUabQu_ym0Zz7PgGX0-kHA/edit?usp=sharing"",""แผน!P88"")"),1)</f>
        <v>1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IFERROR(__xludf.DUMMYFUNCTION("IMPORTRANGE(""https://docs.google.com/spreadsheets/d/1QqKyyYR6Q21VydFLVH3TRQUabQu_ym0Zz7PgGX0-kHA/edit?usp=sharing"",""แผน!P88"")"),1)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IFERROR(__xludf.DUMMYFUNCTION("IMPORTRANGE(""https://docs.google.com/spreadsheets/d/1QqKyyYR6Q21VydFLVH3TRQUabQu_ym0Zz7PgGX0-kHA/edit?usp=sharing"",""แผน!Q88"")"),0)</f>
        <v>0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IFERROR(__xludf.DUMMYFUNCTION("IMPORTRANGE(""https://docs.google.com/spreadsheets/d/1QqKyyYR6Q21VydFLVH3TRQUabQu_ym0Zz7PgGX0-kHA/edit?usp=sharing"",""แผน!Q88"")"),0)</f>
        <v>0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911610</v>
      </c>
      <c r="M132" s="155">
        <f t="shared" ca="1" si="69"/>
        <v>565350</v>
      </c>
      <c r="N132" s="155">
        <f t="shared" ca="1" si="69"/>
        <v>328135.69</v>
      </c>
      <c r="O132" s="155">
        <f t="shared" ref="O132:O140" ca="1" si="70">IF(L132&gt;0,N132*100/L132,0)</f>
        <v>35.995183247221945</v>
      </c>
      <c r="P132" s="155">
        <f t="shared" ref="P132:P140" ca="1" si="71">IF(M132&gt;0,N132*100/M132,0)</f>
        <v>58.041158574334482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911610</v>
      </c>
      <c r="M134" s="93">
        <f t="shared" ca="1" si="72"/>
        <v>565350</v>
      </c>
      <c r="N134" s="93">
        <f t="shared" ca="1" si="72"/>
        <v>328135.69</v>
      </c>
      <c r="O134" s="93">
        <f t="shared" ca="1" si="70"/>
        <v>35.995183247221945</v>
      </c>
      <c r="P134" s="93">
        <f t="shared" ca="1" si="71"/>
        <v>58.041158574334482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705610</v>
      </c>
      <c r="M135" s="497">
        <f t="shared" ca="1" si="73"/>
        <v>365350</v>
      </c>
      <c r="N135" s="497">
        <f t="shared" ca="1" si="73"/>
        <v>128135.69</v>
      </c>
      <c r="O135" s="497">
        <f t="shared" ca="1" si="70"/>
        <v>18.159562647921657</v>
      </c>
      <c r="P135" s="497">
        <f t="shared" ca="1" si="71"/>
        <v>35.072037771999454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IFERROR(__xludf.DUMMYFUNCTION("IMPORTRANGE(""https://docs.google.com/spreadsheets/d/1MeEWN-I1oV_STSDYn1IFDPWt_1FKiwhDph83XaGc0o0/edit?usp=sharing"",""งบพรบ!BP88"")"),365350)</f>
        <v>365350</v>
      </c>
      <c r="N137" s="93">
        <f ca="1">IFERROR(__xludf.DUMMYFUNCTION("IMPORTRANGE(""https://docs.google.com/spreadsheets/d/1MeEWN-I1oV_STSDYn1IFDPWt_1FKiwhDph83XaGc0o0/edit?usp=sharing"",""งบพรบ!BR88"")"),128135.69)</f>
        <v>128135.69</v>
      </c>
      <c r="O137" s="93">
        <f t="shared" ca="1" si="70"/>
        <v>18.159562647921657</v>
      </c>
      <c r="P137" s="93">
        <f t="shared" ca="1" si="71"/>
        <v>35.072037771999454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200000</v>
      </c>
      <c r="N138" s="497">
        <f t="shared" ca="1" si="74"/>
        <v>200000</v>
      </c>
      <c r="O138" s="497">
        <f t="shared" ca="1" si="70"/>
        <v>97.087378640776706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20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IFERROR(__xludf.DUMMYFUNCTION("IMPORTRANGE(""https://docs.google.com/spreadsheets/d/1QqKyyYR6Q21VydFLVH3TRQUabQu_ym0Zz7PgGX0-kHA/edit?usp=sharing"",""แผน!U88"")"),10)</f>
        <v>10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IFERROR(__xludf.DUMMYFUNCTION("IMPORTRANGE(""https://docs.google.com/spreadsheets/d/1QqKyyYR6Q21VydFLVH3TRQUabQu_ym0Zz7PgGX0-kHA/edit?usp=sharing"",""แผน!V88"")"),20)</f>
        <v>20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IFERROR(__xludf.DUMMYFUNCTION("IMPORTRANGE(""https://docs.google.com/spreadsheets/d/1QqKyyYR6Q21VydFLVH3TRQUabQu_ym0Zz7PgGX0-kHA/edit?usp=sharing"",""แผน!W88"")"),2)</f>
        <v>2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IFERROR(__xludf.DUMMYFUNCTION("IMPORTRANGE(""https://docs.google.com/spreadsheets/d/1MeEWN-I1oV_STSDYn1IFDPWt_1FKiwhDph83XaGc0o0/edit?usp=sharing"",""งบพรบ!BZ88"")"),10000)</f>
        <v>10000</v>
      </c>
      <c r="N154" s="93">
        <f ca="1">IFERROR(__xludf.DUMMYFUNCTION("IMPORTRANGE(""https://docs.google.com/spreadsheets/d/1MeEWN-I1oV_STSDYn1IFDPWt_1FKiwhDph83XaGc0o0/edit?usp=sharing"",""งบพรบ!CB88"")"),0)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IFERROR(__xludf.DUMMYFUNCTION("IMPORTRANGE(""https://docs.google.com/spreadsheets/d/1QqKyyYR6Q21VydFLVH3TRQUabQu_ym0Zz7PgGX0-kHA/edit?usp=sharing"",""แผน!X88"")"),20)</f>
        <v>20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IFERROR(__xludf.DUMMYFUNCTION("IMPORTRANGE(""https://docs.google.com/spreadsheets/d/1MeEWN-I1oV_STSDYn1IFDPWt_1FKiwhDph83XaGc0o0/edit?usp=sharing"",""งบพรบ!CJ88"")"),22055)</f>
        <v>22055</v>
      </c>
      <c r="N170" s="93">
        <f ca="1">IFERROR(__xludf.DUMMYFUNCTION("IMPORTRANGE(""https://docs.google.com/spreadsheets/d/1MeEWN-I1oV_STSDYn1IFDPWt_1FKiwhDph83XaGc0o0/edit?usp=sharing"",""งบพรบ!CL88"")"),22055)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IFERROR(__xludf.DUMMYFUNCTION("IMPORTRANGE(""https://docs.google.com/spreadsheets/d/1QqKyyYR6Q21VydFLVH3TRQUabQu_ym0Zz7PgGX0-kHA/edit?usp=sharing"",""แผน!Y88"")"),11)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64500</v>
      </c>
      <c r="M181" s="155">
        <f t="shared" ca="1" si="92"/>
        <v>39000</v>
      </c>
      <c r="N181" s="155">
        <f t="shared" ca="1" si="92"/>
        <v>32240</v>
      </c>
      <c r="O181" s="155">
        <f t="shared" ref="O181:O189" ca="1" si="93">IF(L181&gt;0,N181*100/L181,0)</f>
        <v>49.984496124031011</v>
      </c>
      <c r="P181" s="155">
        <f t="shared" ref="P181:P189" ca="1" si="94">IF(M181&gt;0,N181*100/M181,0)</f>
        <v>82.666666666666671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64500</v>
      </c>
      <c r="M183" s="93">
        <f t="shared" ca="1" si="95"/>
        <v>39000</v>
      </c>
      <c r="N183" s="93">
        <f t="shared" ca="1" si="95"/>
        <v>32240</v>
      </c>
      <c r="O183" s="93">
        <f t="shared" ca="1" si="93"/>
        <v>49.984496124031011</v>
      </c>
      <c r="P183" s="93">
        <f t="shared" ca="1" si="94"/>
        <v>82.666666666666671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64500</v>
      </c>
      <c r="M184" s="497">
        <f t="shared" ca="1" si="96"/>
        <v>39000</v>
      </c>
      <c r="N184" s="497">
        <f t="shared" ca="1" si="96"/>
        <v>32240</v>
      </c>
      <c r="O184" s="497">
        <f t="shared" ca="1" si="93"/>
        <v>49.984496124031011</v>
      </c>
      <c r="P184" s="497">
        <f t="shared" ca="1" si="94"/>
        <v>82.666666666666671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IFERROR(__xludf.DUMMYFUNCTION("IMPORTRANGE(""https://docs.google.com/spreadsheets/d/1MeEWN-I1oV_STSDYn1IFDPWt_1FKiwhDph83XaGc0o0/edit?usp=sharing"",""งบพรบ!CT88"")"),39000)</f>
        <v>39000</v>
      </c>
      <c r="N186" s="93">
        <f ca="1">IFERROR(__xludf.DUMMYFUNCTION("IMPORTRANGE(""https://docs.google.com/spreadsheets/d/1MeEWN-I1oV_STSDYn1IFDPWt_1FKiwhDph83XaGc0o0/edit?usp=sharing"",""งบพรบ!CV88"")"),32240)</f>
        <v>32240</v>
      </c>
      <c r="O186" s="93">
        <f t="shared" ca="1" si="93"/>
        <v>49.984496124031011</v>
      </c>
      <c r="P186" s="93">
        <f t="shared" ca="1" si="94"/>
        <v>82.666666666666671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5">
        <v>240</v>
      </c>
      <c r="O191" s="155">
        <f ca="1">IF(L191&gt;0,N191*100/L191,0)</f>
        <v>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IFERROR(__xludf.DUMMYFUNCTION("IMPORTRANGE(""https://docs.google.com/spreadsheets/d/1QqKyyYR6Q21VydFLVH3TRQUabQu_ym0Zz7PgGX0-kHA/edit?usp=sharing"",""แผน!AC88"")"),4)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25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25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4</v>
      </c>
      <c r="J197" s="271">
        <f t="shared" si="99"/>
        <v>4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52000</v>
      </c>
      <c r="M198" s="155"/>
      <c r="N198" s="155">
        <f>N199+N200+N201+N202</f>
        <v>32000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IFERROR(__xludf.DUMMYFUNCTION("IMPORTRANGE(""https://docs.google.com/spreadsheets/d/1QqKyyYR6Q21VydFLVH3TRQUabQu_ym0Zz7PgGX0-kHA/edit?usp=sharing"",""แผน!AE88"")"),4000)</f>
        <v>4000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IFERROR(__xludf.DUMMYFUNCTION("IMPORTRANGE(""https://docs.google.com/spreadsheets/d/1QqKyyYR6Q21VydFLVH3TRQUabQu_ym0Zz7PgGX0-kHA/edit?usp=sharing"",""แผน!AF88"")"),32000)</f>
        <v>32000</v>
      </c>
      <c r="M200" s="497"/>
      <c r="N200" s="818">
        <v>32000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IFERROR(__xludf.DUMMYFUNCTION("IMPORTRANGE(""https://docs.google.com/spreadsheets/d/1QqKyyYR6Q21VydFLVH3TRQUabQu_ym0Zz7PgGX0-kHA/edit?usp=sharing"",""แผน!AG88"")"),16000)</f>
        <v>16000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IFERROR(__xludf.DUMMYFUNCTION("IMPORTRANGE(""https://docs.google.com/spreadsheets/d/1QqKyyYR6Q21VydFLVH3TRQUabQu_ym0Zz7PgGX0-kHA/edit?usp=sharing"",""แผน!AH88"")"),0)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IFERROR(__xludf.DUMMYFUNCTION("IMPORTRANGE(""https://docs.google.com/spreadsheets/d/1QqKyyYR6Q21VydFLVH3TRQUabQu_ym0Zz7PgGX0-kHA/edit?usp=sharing"",""แผน!AI88"")"),4)</f>
        <v>4</v>
      </c>
      <c r="J204" s="214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4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IFERROR(__xludf.DUMMYFUNCTION("IMPORTRANGE(""https://docs.google.com/spreadsheets/d/1QqKyyYR6Q21VydFLVH3TRQUabQu_ym0Zz7PgGX0-kHA/edit?usp=sharing"",""แผน!AK88"")"),0)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IFERROR(__xludf.DUMMYFUNCTION("IMPORTRANGE(""https://docs.google.com/spreadsheets/d/1QqKyyYR6Q21VydFLVH3TRQUabQu_ym0Zz7PgGX0-kHA/edit?usp=sharing"",""แผน!AL88"")"),0)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IFERROR(__xludf.DUMMYFUNCTION("IMPORTRANGE(""https://docs.google.com/spreadsheets/d/1QqKyyYR6Q21VydFLVH3TRQUabQu_ym0Zz7PgGX0-kHA/edit?usp=sharing"",""แผน!AM88"")"),0)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IFERROR(__xludf.DUMMYFUNCTION("IMPORTRANGE(""https://docs.google.com/spreadsheets/d/1QqKyyYR6Q21VydFLVH3TRQUabQu_ym0Zz7PgGX0-kHA/edit?usp=sharing"",""แผน!AN88"")"),0)</f>
        <v>0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IFERROR(__xludf.DUMMYFUNCTION("IMPORTRANGE(""https://docs.google.com/spreadsheets/d/1QqKyyYR6Q21VydFLVH3TRQUabQu_ym0Zz7PgGX0-kHA/edit?usp=sharing"",""แผน!AN88"")"),0)</f>
        <v>0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10000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IFERROR(__xludf.DUMMYFUNCTION("IMPORTRANGE(""https://docs.google.com/spreadsheets/d/1QqKyyYR6Q21VydFLVH3TRQUabQu_ym0Zz7PgGX0-kHA/edit?usp=sharing"",""แผน!AP88"")"),3000)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IFERROR(__xludf.DUMMYFUNCTION("IMPORTRANGE(""https://docs.google.com/spreadsheets/d/1QqKyyYR6Q21VydFLVH3TRQUabQu_ym0Zz7PgGX0-kHA/edit?usp=sharing"",""แผน!AQ88"")"),3500)</f>
        <v>3500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IFERROR(__xludf.DUMMYFUNCTION("IMPORTRANGE(""https://docs.google.com/spreadsheets/d/1QqKyyYR6Q21VydFLVH3TRQUabQu_ym0Zz7PgGX0-kHA/edit?usp=sharing"",""แผน!AR88"")"),0)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IFERROR(__xludf.DUMMYFUNCTION("IMPORTRANGE(""https://docs.google.com/spreadsheets/d/1QqKyyYR6Q21VydFLVH3TRQUabQu_ym0Zz7PgGX0-kHA/edit?usp=sharing"",""แผน!AT88"")"),10000)</f>
        <v>10000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IFERROR(__xludf.DUMMYFUNCTION("IMPORTRANGE(""https://docs.google.com/spreadsheets/d/1QqKyyYR6Q21VydFLVH3TRQUabQu_ym0Zz7PgGX0-kHA/edit?usp=sharing"",""แผน!AT88"")"),10000)</f>
        <v>10000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IFERROR(__xludf.DUMMYFUNCTION("IMPORTRANGE(""https://docs.google.com/spreadsheets/d/1QqKyyYR6Q21VydFLVH3TRQUabQu_ym0Zz7PgGX0-kHA/edit?usp=sharing"",""แผน!AS88"")"),0)</f>
        <v>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IFERROR(__xludf.DUMMYFUNCTION("IMPORTRANGE(""https://docs.google.com/spreadsheets/d/1QqKyyYR6Q21VydFLVH3TRQUabQu_ym0Zz7PgGX0-kHA/edit?usp=sharing"",""แผน!AV88"")"),0)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IFERROR(__xludf.DUMMYFUNCTION("IMPORTRANGE(""https://docs.google.com/spreadsheets/d/1QqKyyYR6Q21VydFLVH3TRQUabQu_ym0Zz7PgGX0-kHA/edit?usp=sharing"",""แผน!AW88"")"),0)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IFERROR(__xludf.DUMMYFUNCTION("IMPORTRANGE(""https://docs.google.com/spreadsheets/d/1QqKyyYR6Q21VydFLVH3TRQUabQu_ym0Zz7PgGX0-kHA/edit?usp=sharing"",""แผน!AX88"")"),0)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IFERROR(__xludf.DUMMYFUNCTION("IMPORTRANGE(""https://docs.google.com/spreadsheets/d/1QqKyyYR6Q21VydFLVH3TRQUabQu_ym0Zz7PgGX0-kHA/edit?usp=sharing"",""แผน!AY88"")"),0)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IFERROR(__xludf.DUMMYFUNCTION("IMPORTRANGE(""https://docs.google.com/spreadsheets/d/1QqKyyYR6Q21VydFLVH3TRQUabQu_ym0Zz7PgGX0-kHA/edit?usp=sharing"",""แผน!BE88"")"),0)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IFERROR(__xludf.DUMMYFUNCTION("IMPORTRANGE(""https://docs.google.com/spreadsheets/d/1QqKyyYR6Q21VydFLVH3TRQUabQu_ym0Zz7PgGX0-kHA/edit?usp=sharing"",""แผน!AZ88"")"),0)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IFERROR(__xludf.DUMMYFUNCTION("IMPORTRANGE(""https://docs.google.com/spreadsheets/d/1QqKyyYR6Q21VydFLVH3TRQUabQu_ym0Zz7PgGX0-kHA/edit?usp=sharing"",""แผน!BA88"")"),0)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IFERROR(__xludf.DUMMYFUNCTION("IMPORTRANGE(""https://docs.google.com/spreadsheets/d/1QqKyyYR6Q21VydFLVH3TRQUabQu_ym0Zz7PgGX0-kHA/edit?usp=sharing"",""แผน!BB88"")"),0)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IFERROR(__xludf.DUMMYFUNCTION("IMPORTRANGE(""https://docs.google.com/spreadsheets/d/1QqKyyYR6Q21VydFLVH3TRQUabQu_ym0Zz7PgGX0-kHA/edit?usp=sharing"",""แผน!BC88"")"),0)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IFERROR(__xludf.DUMMYFUNCTION("IMPORTRANGE(""https://docs.google.com/spreadsheets/d/1QqKyyYR6Q21VydFLVH3TRQUabQu_ym0Zz7PgGX0-kHA/edit?usp=sharing"",""แผน!BF88"")"),0)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20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IFERROR(__xludf.DUMMYFUNCTION("IMPORTRANGE(""https://docs.google.com/spreadsheets/d/1MeEWN-I1oV_STSDYn1IFDPWt_1FKiwhDph83XaGc0o0/edit?usp=sharing"",""งบพรบ!DD88"")"),0)</f>
        <v>0</v>
      </c>
      <c r="N266" s="93">
        <f ca="1">IFERROR(__xludf.DUMMYFUNCTION("IMPORTRANGE(""https://docs.google.com/spreadsheets/d/1MeEWN-I1oV_STSDYn1IFDPWt_1FKiwhDph83XaGc0o0/edit?usp=sharing"",""งบพรบ!DF88"")"),0)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IFERROR(__xludf.DUMMYFUNCTION("IMPORTRANGE(""https://docs.google.com/spreadsheets/d/1QqKyyYR6Q21VydFLVH3TRQUabQu_ym0Zz7PgGX0-kHA/edit?usp=sharing"",""แผน!EA88"")"),20)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10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100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16820</v>
      </c>
      <c r="N277" s="155">
        <f t="shared" ca="1" si="125"/>
        <v>1700</v>
      </c>
      <c r="O277" s="155">
        <f t="shared" ref="O277:O285" ca="1" si="126">IF(L277&gt;0,N277*100/L277,0)</f>
        <v>4.1453304072177515</v>
      </c>
      <c r="P277" s="155">
        <f t="shared" ref="P277:P285" ca="1" si="127">IF(M277&gt;0,N277*100/M277,0)</f>
        <v>10.107015457788346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41010</v>
      </c>
      <c r="M279" s="93">
        <f t="shared" ca="1" si="128"/>
        <v>16820</v>
      </c>
      <c r="N279" s="93">
        <f t="shared" ca="1" si="128"/>
        <v>1700</v>
      </c>
      <c r="O279" s="93">
        <f t="shared" ca="1" si="126"/>
        <v>4.1453304072177515</v>
      </c>
      <c r="P279" s="93">
        <f t="shared" ca="1" si="127"/>
        <v>10.107015457788346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16820</v>
      </c>
      <c r="N280" s="497">
        <f t="shared" ca="1" si="129"/>
        <v>1700</v>
      </c>
      <c r="O280" s="497">
        <f t="shared" ca="1" si="126"/>
        <v>4.1453304072177515</v>
      </c>
      <c r="P280" s="497">
        <f t="shared" ca="1" si="127"/>
        <v>10.107015457788346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IFERROR(__xludf.DUMMYFUNCTION("IMPORTRANGE(""https://docs.google.com/spreadsheets/d/1MeEWN-I1oV_STSDYn1IFDPWt_1FKiwhDph83XaGc0o0/edit?usp=sharing"",""งบพรบ!DN88"")"),16820)</f>
        <v>16820</v>
      </c>
      <c r="N282" s="93">
        <f ca="1">IFERROR(__xludf.DUMMYFUNCTION("IMPORTRANGE(""https://docs.google.com/spreadsheets/d/1MeEWN-I1oV_STSDYn1IFDPWt_1FKiwhDph83XaGc0o0/edit?usp=sharing"",""งบพรบ!DP88"")"),1700)</f>
        <v>1700</v>
      </c>
      <c r="O282" s="93">
        <f t="shared" ca="1" si="126"/>
        <v>4.1453304072177515</v>
      </c>
      <c r="P282" s="93">
        <f t="shared" ca="1" si="127"/>
        <v>10.107015457788346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IFERROR(__xludf.DUMMYFUNCTION("IMPORTRANGE(""https://docs.google.com/spreadsheets/d/1QqKyyYR6Q21VydFLVH3TRQUabQu_ym0Zz7PgGX0-kHA/edit?usp=sharing"",""แผน!EC88"")"),100)</f>
        <v>100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IFERROR(__xludf.DUMMYFUNCTION("IMPORTRANGE(""https://docs.google.com/spreadsheets/d/1QqKyyYR6Q21VydFLVH3TRQUabQu_ym0Zz7PgGX0-kHA/edit?usp=sharing"",""แผน!EB88"")"),10)</f>
        <v>10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6" t="s">
        <v>136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IFERROR(__xludf.DUMMYFUNCTION("IMPORTRANGE(""https://docs.google.com/spreadsheets/d/1QqKyyYR6Q21VydFLVH3TRQUabQu_ym0Zz7PgGX0-kHA/edit?usp=sharing"",""แผน!EB88"")"),10)</f>
        <v>10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9605</v>
      </c>
      <c r="O298" s="155">
        <f t="shared" ref="O298:O306" ca="1" si="136">IF(L298&gt;0,N298*100/L298,0)</f>
        <v>11.656553398058252</v>
      </c>
      <c r="P298" s="155">
        <f t="shared" ref="P298:P306" ca="1" si="137">IF(M298&gt;0,N298*100/M298,0)</f>
        <v>19.554153094462542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9605</v>
      </c>
      <c r="O300" s="93">
        <f t="shared" ca="1" si="136"/>
        <v>11.656553398058252</v>
      </c>
      <c r="P300" s="93">
        <f t="shared" ca="1" si="137"/>
        <v>19.554153094462542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9605</v>
      </c>
      <c r="O301" s="497">
        <f t="shared" ca="1" si="136"/>
        <v>11.656553398058252</v>
      </c>
      <c r="P301" s="497">
        <f t="shared" ca="1" si="137"/>
        <v>19.554153094462542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IFERROR(__xludf.DUMMYFUNCTION("IMPORTRANGE(""https://docs.google.com/spreadsheets/d/1MeEWN-I1oV_STSDYn1IFDPWt_1FKiwhDph83XaGc0o0/edit?usp=sharing"",""งบพรบ!DX88"")"),49120)</f>
        <v>49120</v>
      </c>
      <c r="N303" s="93">
        <f ca="1">IFERROR(__xludf.DUMMYFUNCTION("IMPORTRANGE(""https://docs.google.com/spreadsheets/d/1MeEWN-I1oV_STSDYn1IFDPWt_1FKiwhDph83XaGc0o0/edit?usp=sharing"",""งบพรบ!DZ88"")"),9605)</f>
        <v>9605</v>
      </c>
      <c r="O303" s="93">
        <f t="shared" ca="1" si="136"/>
        <v>11.656553398058252</v>
      </c>
      <c r="P303" s="93">
        <f t="shared" ca="1" si="137"/>
        <v>19.554153094462542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IFERROR(__xludf.DUMMYFUNCTION("IMPORTRANGE(""https://docs.google.com/spreadsheets/d/1QqKyyYR6Q21VydFLVH3TRQUabQu_ym0Zz7PgGX0-kHA/edit?usp=sharing"",""แผน!ED88"")"),20)</f>
        <v>20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IFERROR(__xludf.DUMMYFUNCTION("IMPORTRANGE(""https://docs.google.com/spreadsheets/d/1QqKyyYR6Q21VydFLVH3TRQUabQu_ym0Zz7PgGX0-kHA/edit?usp=sharing"",""แผน!ED88"")"),20)</f>
        <v>20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IFERROR(__xludf.DUMMYFUNCTION("IMPORTRANGE(""https://docs.google.com/spreadsheets/d/1QqKyyYR6Q21VydFLVH3TRQUabQu_ym0Zz7PgGX0-kHA/edit?usp=sharing"",""แผน!ED88"")"),20)</f>
        <v>20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IFERROR(__xludf.DUMMYFUNCTION("IMPORTRANGE(""https://docs.google.com/spreadsheets/d/1QqKyyYR6Q21VydFLVH3TRQUabQu_ym0Zz7PgGX0-kHA/edit?usp=sharing"",""แผน!EE88"")"),4)</f>
        <v>4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206500</v>
      </c>
      <c r="N315" s="155">
        <f t="shared" ca="1" si="143"/>
        <v>89683.95</v>
      </c>
      <c r="O315" s="155">
        <f t="shared" ref="O315:O323" ca="1" si="144">IF(L315&gt;0,N315*100/L315,0)</f>
        <v>20.429145785876994</v>
      </c>
      <c r="P315" s="155">
        <f t="shared" ref="P315:P323" ca="1" si="145">IF(M315&gt;0,N315*100/M315,0)</f>
        <v>43.430484261501213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439000</v>
      </c>
      <c r="M317" s="93">
        <f t="shared" ca="1" si="146"/>
        <v>206500</v>
      </c>
      <c r="N317" s="93">
        <f t="shared" ca="1" si="146"/>
        <v>89683.95</v>
      </c>
      <c r="O317" s="93">
        <f t="shared" ca="1" si="144"/>
        <v>20.429145785876994</v>
      </c>
      <c r="P317" s="93">
        <f t="shared" ca="1" si="145"/>
        <v>43.430484261501213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206500</v>
      </c>
      <c r="N318" s="497">
        <f t="shared" ca="1" si="147"/>
        <v>89683.95</v>
      </c>
      <c r="O318" s="497">
        <f t="shared" ca="1" si="144"/>
        <v>20.429145785876994</v>
      </c>
      <c r="P318" s="497">
        <f t="shared" ca="1" si="145"/>
        <v>43.430484261501213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IFERROR(__xludf.DUMMYFUNCTION("IMPORTRANGE(""https://docs.google.com/spreadsheets/d/1MeEWN-I1oV_STSDYn1IFDPWt_1FKiwhDph83XaGc0o0/edit?usp=sharing"",""งบพรบ!EH88"")"),206500)</f>
        <v>206500</v>
      </c>
      <c r="N320" s="93">
        <f ca="1">IFERROR(__xludf.DUMMYFUNCTION("IMPORTRANGE(""https://docs.google.com/spreadsheets/d/1MeEWN-I1oV_STSDYn1IFDPWt_1FKiwhDph83XaGc0o0/edit?usp=sharing"",""งบพรบ!EJ88"")"),89683.95)</f>
        <v>89683.95</v>
      </c>
      <c r="O320" s="93">
        <f t="shared" ca="1" si="144"/>
        <v>20.429145785876994</v>
      </c>
      <c r="P320" s="93">
        <f t="shared" ca="1" si="145"/>
        <v>43.430484261501213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IFERROR(__xludf.DUMMYFUNCTION("IMPORTRANGE(""https://docs.google.com/spreadsheets/d/1QqKyyYR6Q21VydFLVH3TRQUabQu_ym0Zz7PgGX0-kHA/edit?usp=sharing"",""แผน!EF88"")"),1)</f>
        <v>1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IFERROR(__xludf.DUMMYFUNCTION("IMPORTRANGE(""https://docs.google.com/spreadsheets/d/1QqKyyYR6Q21VydFLVH3TRQUabQu_ym0Zz7PgGX0-kHA/edit?usp=sharing"",""แผน!EG88"")"),4800)</f>
        <v>4800</v>
      </c>
      <c r="J327" s="444">
        <f ca="1">J338+J341+J342+J343</f>
        <v>2652</v>
      </c>
      <c r="K327" s="445">
        <f ca="1">IF(I327&gt;0,J327*100/I327,0)</f>
        <v>55.25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89500</v>
      </c>
      <c r="N328" s="155">
        <f t="shared" ca="1" si="149"/>
        <v>44352.58</v>
      </c>
      <c r="O328" s="155">
        <f t="shared" ref="O328:O336" ca="1" si="150">IF(L328&gt;0,N328*100/L328,0)</f>
        <v>24.777977653631286</v>
      </c>
      <c r="P328" s="155">
        <f t="shared" ref="P328:P336" ca="1" si="151">IF(M328&gt;0,N328*100/M328,0)</f>
        <v>49.555955307262572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179000</v>
      </c>
      <c r="M330" s="93">
        <f t="shared" ca="1" si="152"/>
        <v>89500</v>
      </c>
      <c r="N330" s="93">
        <f t="shared" ca="1" si="152"/>
        <v>44352.58</v>
      </c>
      <c r="O330" s="93">
        <f t="shared" ca="1" si="150"/>
        <v>24.777977653631286</v>
      </c>
      <c r="P330" s="93">
        <f t="shared" ca="1" si="151"/>
        <v>49.555955307262572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89500</v>
      </c>
      <c r="N331" s="497">
        <f t="shared" ca="1" si="153"/>
        <v>44352.58</v>
      </c>
      <c r="O331" s="497">
        <f t="shared" ca="1" si="150"/>
        <v>24.777977653631286</v>
      </c>
      <c r="P331" s="497">
        <f t="shared" ca="1" si="151"/>
        <v>49.555955307262572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IFERROR(__xludf.DUMMYFUNCTION("IMPORTRANGE(""https://docs.google.com/spreadsheets/d/1MeEWN-I1oV_STSDYn1IFDPWt_1FKiwhDph83XaGc0o0/edit?usp=sharing"",""งบพรบ!ER88"")"),89500)</f>
        <v>89500</v>
      </c>
      <c r="N333" s="93">
        <f ca="1">IFERROR(__xludf.DUMMYFUNCTION("IMPORTRANGE(""https://docs.google.com/spreadsheets/d/1MeEWN-I1oV_STSDYn1IFDPWt_1FKiwhDph83XaGc0o0/edit?usp=sharing"",""งบพรบ!ET88"")"),44352.58)</f>
        <v>44352.58</v>
      </c>
      <c r="O333" s="93">
        <f t="shared" ca="1" si="150"/>
        <v>24.777977653631286</v>
      </c>
      <c r="P333" s="93">
        <f t="shared" ca="1" si="151"/>
        <v>49.555955307262572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IFERROR(__xludf.DUMMYFUNCTION("IMPORTRANGE(""https://docs.google.com/spreadsheets/d/1QqKyyYR6Q21VydFLVH3TRQUabQu_ym0Zz7PgGX0-kHA/edit?usp=sharing"",""แผน!EG88"")"),4800)</f>
        <v>4800</v>
      </c>
      <c r="J338" s="269">
        <f ca="1">IFERROR(__xludf.DUMMYFUNCTION("IMPORTRANGE(""https://docs.google.com/spreadsheets/d/1kVcqe37tkHyjCSG3S0O1AXqVkqjo8mSIZil3BcpIysc/edit?usp=sharing"",""ศูนย์!D88"")"),2645)</f>
        <v>2645</v>
      </c>
      <c r="K338" s="497">
        <f ca="1">IF(I338&gt;0,J338*100/I338,0)</f>
        <v>55.104166666666664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IFERROR(__xludf.DUMMYFUNCTION("IMPORTRANGE(""https://docs.google.com/spreadsheets/d/1QqKyyYR6Q21VydFLVH3TRQUabQu_ym0Zz7PgGX0-kHA/edit?usp=sharing"",""แผน!EH88"")"),8)</f>
        <v>8</v>
      </c>
      <c r="J340" s="269">
        <f ca="1">IFERROR(__xludf.DUMMYFUNCTION("IMPORTRANGE(""https://docs.google.com/spreadsheets/d/1kVcqe37tkHyjCSG3S0O1AXqVkqjo8mSIZil3BcpIysc/edit?usp=sharing"",""ศูนย์!E88"")"),0)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IFERROR(__xludf.DUMMYFUNCTION("IMPORTRANGE(""https://docs.google.com/spreadsheets/d/1kVcqe37tkHyjCSG3S0O1AXqVkqjo8mSIZil3BcpIysc/edit?usp=sharing"",""ศูนย์!F88"")"),0)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IFERROR(__xludf.DUMMYFUNCTION("IMPORTRANGE(""https://docs.google.com/spreadsheets/d/1kVcqe37tkHyjCSG3S0O1AXqVkqjo8mSIZil3BcpIysc/edit?usp=sharing"",""ศูนย์!H88"")"),7)</f>
        <v>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1438760</v>
      </c>
      <c r="M345" s="155">
        <f t="shared" ca="1" si="155"/>
        <v>773980</v>
      </c>
      <c r="N345" s="155">
        <f t="shared" ca="1" si="155"/>
        <v>413503.24</v>
      </c>
      <c r="O345" s="155">
        <f t="shared" ref="O345:O353" ca="1" si="156">IF(L345&gt;0,N345*100/L345,0)</f>
        <v>28.740251327532043</v>
      </c>
      <c r="P345" s="155">
        <f t="shared" ref="P345:P353" ca="1" si="157">IF(M345&gt;0,N345*100/M345,0)</f>
        <v>53.425571720199486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1438760</v>
      </c>
      <c r="M347" s="93">
        <f t="shared" ca="1" si="158"/>
        <v>773980</v>
      </c>
      <c r="N347" s="93">
        <f t="shared" ca="1" si="158"/>
        <v>413503.24</v>
      </c>
      <c r="O347" s="93">
        <f t="shared" ca="1" si="156"/>
        <v>28.740251327532043</v>
      </c>
      <c r="P347" s="93">
        <f t="shared" ca="1" si="157"/>
        <v>53.425571720199486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1287160</v>
      </c>
      <c r="M348" s="497">
        <f t="shared" ca="1" si="159"/>
        <v>643580</v>
      </c>
      <c r="N348" s="497">
        <f t="shared" ca="1" si="159"/>
        <v>283103.24</v>
      </c>
      <c r="O348" s="497">
        <f t="shared" ca="1" si="156"/>
        <v>21.99440939743311</v>
      </c>
      <c r="P348" s="497">
        <f t="shared" ca="1" si="157"/>
        <v>43.988818794866219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IFERROR(__xludf.DUMMYFUNCTION("IMPORTRANGE(""https://docs.google.com/spreadsheets/d/1MeEWN-I1oV_STSDYn1IFDPWt_1FKiwhDph83XaGc0o0/edit?usp=sharing"",""งบพรบ!FB88"")"),643580)</f>
        <v>643580</v>
      </c>
      <c r="N350" s="93">
        <f ca="1">IFERROR(__xludf.DUMMYFUNCTION("IMPORTRANGE(""https://docs.google.com/spreadsheets/d/1MeEWN-I1oV_STSDYn1IFDPWt_1FKiwhDph83XaGc0o0/edit?usp=sharing"",""งบพรบ!FD88"")"),283103.24)</f>
        <v>283103.24</v>
      </c>
      <c r="O350" s="93">
        <f t="shared" ca="1" si="156"/>
        <v>21.99440939743311</v>
      </c>
      <c r="P350" s="93">
        <f t="shared" ca="1" si="157"/>
        <v>43.988818794866219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130400</v>
      </c>
      <c r="N351" s="497">
        <f t="shared" ca="1" si="160"/>
        <v>130400</v>
      </c>
      <c r="O351" s="497">
        <f t="shared" ca="1" si="156"/>
        <v>86.01583113456465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IFERROR(__xludf.DUMMYFUNCTION("IMPORTRANGE(""https://docs.google.com/spreadsheets/d/1QqKyyYR6Q21VydFLVH3TRQUabQu_ym0Zz7PgGX0-kHA/edit?usp=sharing"",""แผน!EP88"")"),500)</f>
        <v>500</v>
      </c>
      <c r="J355" s="464">
        <f ca="1">J362</f>
        <v>2</v>
      </c>
      <c r="K355" s="465">
        <f ca="1">IF(I355&gt;0,J355*100/I355,0)</f>
        <v>0.4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IFERROR(__xludf.DUMMYFUNCTION("IMPORTRANGE(""https://docs.google.com/spreadsheets/d/1XWAQStnk-4SwqDmLtmXYiTMKHgktTP8We1SCoS47DrQ/edit?usp=sharing"",""จัดที่ดิน!W88"")"),195)</f>
        <v>195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IFERROR(__xludf.DUMMYFUNCTION("IMPORTRANGE(""https://docs.google.com/spreadsheets/d/1QqKyyYR6Q21VydFLVH3TRQUabQu_ym0Zz7PgGX0-kHA/edit?usp=sharing"",""แผน!EO88"")"),5000)</f>
        <v>5000</v>
      </c>
      <c r="J359" s="269">
        <f ca="1">IFERROR(__xludf.DUMMYFUNCTION("IMPORTRANGE(""https://docs.google.com/spreadsheets/d/1XWAQStnk-4SwqDmLtmXYiTMKHgktTP8We1SCoS47DrQ/edit?usp=sharing"",""จัดที่ดิน!X88"")"),1852.00999999999)</f>
        <v>1852.00999999999</v>
      </c>
      <c r="K359" s="497">
        <f t="shared" ca="1" si="161"/>
        <v>37.0401999999998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IFERROR(__xludf.DUMMYFUNCTION("IMPORTRANGE(""https://docs.google.com/spreadsheets/d/1QqKyyYR6Q21VydFLVH3TRQUabQu_ym0Zz7PgGX0-kHA/edit?usp=sharing"",""แผน!EP88"")"),500)</f>
        <v>500</v>
      </c>
      <c r="J360" s="269">
        <f ca="1">IFERROR(__xludf.DUMMYFUNCTION("IMPORTRANGE(""https://docs.google.com/spreadsheets/d/1XWAQStnk-4SwqDmLtmXYiTMKHgktTP8We1SCoS47DrQ/edit?usp=sharing"",""จัดที่ดิน!Y88"")"),159)</f>
        <v>159</v>
      </c>
      <c r="K360" s="497">
        <f t="shared" ca="1" si="161"/>
        <v>31.8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IFERROR(__xludf.DUMMYFUNCTION("IMPORTRANGE(""https://docs.google.com/spreadsheets/d/1XWAQStnk-4SwqDmLtmXYiTMKHgktTP8We1SCoS47DrQ/edit?usp=sharing"",""จัดที่ดิน!Z88"")"),1384.3)</f>
        <v>1384.3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IFERROR(__xludf.DUMMYFUNCTION("IMPORTRANGE(""https://docs.google.com/spreadsheets/d/1QqKyyYR6Q21VydFLVH3TRQUabQu_ym0Zz7PgGX0-kHA/edit?usp=sharing"",""แผน!EP88"")"),500)</f>
        <v>500</v>
      </c>
      <c r="J362" s="269">
        <f ca="1">IFERROR(__xludf.DUMMYFUNCTION("IMPORTRANGE(""https://docs.google.com/spreadsheets/d/1XWAQStnk-4SwqDmLtmXYiTMKHgktTP8We1SCoS47DrQ/edit?usp=sharing"",""จัดที่ดิน!AA88"")"),2)</f>
        <v>2</v>
      </c>
      <c r="K362" s="497">
        <f t="shared" ca="1" si="161"/>
        <v>0.4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IFERROR(__xludf.DUMMYFUNCTION("IMPORTRANGE(""https://docs.google.com/spreadsheets/d/1XWAQStnk-4SwqDmLtmXYiTMKHgktTP8We1SCoS47DrQ/edit?usp=sharing"",""จัดที่ดิน!AB88"")"),41.92)</f>
        <v>41.92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800</v>
      </c>
      <c r="J364" s="478">
        <f t="shared" ca="1" si="162"/>
        <v>198</v>
      </c>
      <c r="K364" s="479">
        <f t="shared" ca="1" si="161"/>
        <v>24.75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IFERROR(__xludf.DUMMYFUNCTION("IMPORTRANGE(""https://docs.google.com/spreadsheets/d/1QqKyyYR6Q21VydFLVH3TRQUabQu_ym0Zz7PgGX0-kHA/edit?usp=sharing"",""แผน!EJ88"")"),150)</f>
        <v>150</v>
      </c>
      <c r="J365" s="490">
        <f ca="1">J372</f>
        <v>2</v>
      </c>
      <c r="K365" s="491">
        <f t="shared" ca="1" si="161"/>
        <v>1.3333333333333333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IFERROR(__xludf.DUMMYFUNCTION("IMPORTRANGE(""https://docs.google.com/spreadsheets/d/1XWAQStnk-4SwqDmLtmXYiTMKHgktTP8We1SCoS47DrQ/edit?usp=sharing"",""จัดที่ดิน!E88"")"),116)</f>
        <v>116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IFERROR(__xludf.DUMMYFUNCTION("IMPORTRANGE(""https://docs.google.com/spreadsheets/d/1QqKyyYR6Q21VydFLVH3TRQUabQu_ym0Zz7PgGX0-kHA/edit?usp=sharing"",""แผน!EI88"")"),1500)</f>
        <v>1500</v>
      </c>
      <c r="J369" s="269">
        <f ca="1">IFERROR(__xludf.DUMMYFUNCTION("IMPORTRANGE(""https://docs.google.com/spreadsheets/d/1XWAQStnk-4SwqDmLtmXYiTMKHgktTP8We1SCoS47DrQ/edit?usp=sharing"",""จัดที่ดิน!F88"")"),1050.6)</f>
        <v>1050.5999999999999</v>
      </c>
      <c r="K369" s="497">
        <f t="shared" ca="1" si="163"/>
        <v>70.039999999999992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IFERROR(__xludf.DUMMYFUNCTION("IMPORTRANGE(""https://docs.google.com/spreadsheets/d/1QqKyyYR6Q21VydFLVH3TRQUabQu_ym0Zz7PgGX0-kHA/edit?usp=sharing"",""แผน!EJ88"")"),150)</f>
        <v>150</v>
      </c>
      <c r="J370" s="269">
        <f ca="1">IFERROR(__xludf.DUMMYFUNCTION("IMPORTRANGE(""https://docs.google.com/spreadsheets/d/1XWAQStnk-4SwqDmLtmXYiTMKHgktTP8We1SCoS47DrQ/edit?usp=sharing"",""จัดที่ดิน!G88"")"),108)</f>
        <v>108</v>
      </c>
      <c r="K370" s="497">
        <f t="shared" ca="1" si="163"/>
        <v>72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IFERROR(__xludf.DUMMYFUNCTION("IMPORTRANGE(""https://docs.google.com/spreadsheets/d/1XWAQStnk-4SwqDmLtmXYiTMKHgktTP8We1SCoS47DrQ/edit?usp=sharing"",""จัดที่ดิน!H88"")"),944.93)</f>
        <v>944.93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IFERROR(__xludf.DUMMYFUNCTION("IMPORTRANGE(""https://docs.google.com/spreadsheets/d/1QqKyyYR6Q21VydFLVH3TRQUabQu_ym0Zz7PgGX0-kHA/edit?usp=sharing"",""แผน!EJ88"")"),150)</f>
        <v>150</v>
      </c>
      <c r="J372" s="269">
        <f ca="1">IFERROR(__xludf.DUMMYFUNCTION("IMPORTRANGE(""https://docs.google.com/spreadsheets/d/1XWAQStnk-4SwqDmLtmXYiTMKHgktTP8We1SCoS47DrQ/edit?usp=sharing"",""จัดที่ดิน!I88"")"),2)</f>
        <v>2</v>
      </c>
      <c r="K372" s="497">
        <f t="shared" ca="1" si="163"/>
        <v>1.3333333333333333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IFERROR(__xludf.DUMMYFUNCTION("IMPORTRANGE(""https://docs.google.com/spreadsheets/d/1XWAQStnk-4SwqDmLtmXYiTMKHgktTP8We1SCoS47DrQ/edit?usp=sharing"",""จัดที่ดิน!J88"")"),41.92)</f>
        <v>41.92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IFERROR(__xludf.DUMMYFUNCTION("IMPORTRANGE(""https://docs.google.com/spreadsheets/d/1QqKyyYR6Q21VydFLVH3TRQUabQu_ym0Zz7PgGX0-kHA/edit?usp=sharing"",""แผน!EU88"")"),650)</f>
        <v>650</v>
      </c>
      <c r="J374" s="490">
        <f ca="1">J381</f>
        <v>196</v>
      </c>
      <c r="K374" s="491">
        <f t="shared" ca="1" si="163"/>
        <v>30.153846153846153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IFERROR(__xludf.DUMMYFUNCTION("IMPORTRANGE(""https://docs.google.com/spreadsheets/d/1XWAQStnk-4SwqDmLtmXYiTMKHgktTP8We1SCoS47DrQ/edit?usp=sharing"",""จัดที่ดิน!AH88"")"),79)</f>
        <v>79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IFERROR(__xludf.DUMMYFUNCTION("IMPORTRANGE(""https://docs.google.com/spreadsheets/d/1QqKyyYR6Q21VydFLVH3TRQUabQu_ym0Zz7PgGX0-kHA/edit?usp=sharing"",""แผน!ET88"")"),3500)</f>
        <v>3500</v>
      </c>
      <c r="J378" s="269">
        <f ca="1">IFERROR(__xludf.DUMMYFUNCTION("IMPORTRANGE(""https://docs.google.com/spreadsheets/d/1XWAQStnk-4SwqDmLtmXYiTMKHgktTP8We1SCoS47DrQ/edit?usp=sharing"",""จัดที่ดิน!AI88"")"),801.41)</f>
        <v>801.41</v>
      </c>
      <c r="K378" s="497">
        <f t="shared" ca="1" si="164"/>
        <v>22.89742857142857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IFERROR(__xludf.DUMMYFUNCTION("IMPORTRANGE(""https://docs.google.com/spreadsheets/d/1QqKyyYR6Q21VydFLVH3TRQUabQu_ym0Zz7PgGX0-kHA/edit?usp=sharing"",""แผน!EU88"")"),650)</f>
        <v>650</v>
      </c>
      <c r="J379" s="269">
        <f ca="1">IFERROR(__xludf.DUMMYFUNCTION("IMPORTRANGE(""https://docs.google.com/spreadsheets/d/1XWAQStnk-4SwqDmLtmXYiTMKHgktTP8We1SCoS47DrQ/edit?usp=sharing"",""จัดที่ดิน!AJ88"")"),247)</f>
        <v>247</v>
      </c>
      <c r="K379" s="497">
        <f t="shared" ca="1" si="164"/>
        <v>38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IFERROR(__xludf.DUMMYFUNCTION("IMPORTRANGE(""https://docs.google.com/spreadsheets/d/1XWAQStnk-4SwqDmLtmXYiTMKHgktTP8We1SCoS47DrQ/edit?usp=sharing"",""จัดที่ดิน!AK88"")"),3374.92)</f>
        <v>3374.92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IFERROR(__xludf.DUMMYFUNCTION("IMPORTRANGE(""https://docs.google.com/spreadsheets/d/1QqKyyYR6Q21VydFLVH3TRQUabQu_ym0Zz7PgGX0-kHA/edit?usp=sharing"",""แผน!EU88"")"),650)</f>
        <v>650</v>
      </c>
      <c r="J381" s="269">
        <f ca="1">IFERROR(__xludf.DUMMYFUNCTION("IMPORTRANGE(""https://docs.google.com/spreadsheets/d/1XWAQStnk-4SwqDmLtmXYiTMKHgktTP8We1SCoS47DrQ/edit?usp=sharing"",""จัดที่ดิน!AL88"")"),196)</f>
        <v>196</v>
      </c>
      <c r="K381" s="497">
        <f t="shared" ca="1" si="164"/>
        <v>30.153846153846153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IFERROR(__xludf.DUMMYFUNCTION("IMPORTRANGE(""https://docs.google.com/spreadsheets/d/1XWAQStnk-4SwqDmLtmXYiTMKHgktTP8We1SCoS47DrQ/edit?usp=sharing"",""จัดที่ดิน!AM88"")"),2935.55)</f>
        <v>2935.55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IFERROR(__xludf.DUMMYFUNCTION("IMPORTRANGE(""https://docs.google.com/spreadsheets/d/1QqKyyYR6Q21VydFLVH3TRQUabQu_ym0Zz7PgGX0-kHA/edit?usp=sharing"",""แผน!EW88"")"),150)</f>
        <v>150</v>
      </c>
      <c r="J385" s="500">
        <f ca="1">IFERROR(__xludf.DUMMYFUNCTION("IMPORTRANGE(""https://docs.google.com/spreadsheets/d/1XWAQStnk-4SwqDmLtmXYiTMKHgktTP8We1SCoS47DrQ/edit?usp=sharing"",""จัดที่ดิน!AP88"")"),0)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1855228</v>
      </c>
      <c r="M414" s="548">
        <f t="shared" si="181"/>
        <v>0</v>
      </c>
      <c r="N414" s="548">
        <f t="shared" si="181"/>
        <v>318272.82999999996</v>
      </c>
      <c r="O414" s="548">
        <f ca="1">IF(L414&gt;0,N414*100/L414,0)</f>
        <v>17.155456364392947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45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2</v>
      </c>
      <c r="J418" s="564">
        <f t="shared" si="182"/>
        <v>1</v>
      </c>
      <c r="K418" s="565">
        <f t="shared" ca="1" si="183"/>
        <v>50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149040</v>
      </c>
      <c r="M419" s="155">
        <f t="shared" si="184"/>
        <v>0</v>
      </c>
      <c r="N419" s="155">
        <f t="shared" si="184"/>
        <v>102860</v>
      </c>
      <c r="O419" s="155">
        <f t="shared" ref="O419:O424" ca="1" si="185">IF(L419&gt;0,N419*100/L419,0)</f>
        <v>69.015029522275896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149040</v>
      </c>
      <c r="M421" s="93">
        <f t="shared" si="187"/>
        <v>0</v>
      </c>
      <c r="N421" s="93">
        <f t="shared" si="187"/>
        <v>102860</v>
      </c>
      <c r="O421" s="93">
        <f t="shared" ca="1" si="185"/>
        <v>69.015029522275896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149040</v>
      </c>
      <c r="M422" s="497">
        <f t="shared" si="188"/>
        <v>0</v>
      </c>
      <c r="N422" s="497">
        <f t="shared" si="188"/>
        <v>102860</v>
      </c>
      <c r="O422" s="497">
        <f t="shared" ca="1" si="185"/>
        <v>69.015029522275896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v>0</v>
      </c>
      <c r="N424" s="93">
        <f>N425+N426+N427+N428</f>
        <v>102860</v>
      </c>
      <c r="O424" s="93">
        <f t="shared" ca="1" si="185"/>
        <v>69.015029522275896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f>77780+24000</f>
        <v>101780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1080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45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2</v>
      </c>
      <c r="J434" s="675">
        <f t="shared" si="193"/>
        <v>1</v>
      </c>
      <c r="K434" s="195">
        <f t="shared" ca="1" si="192"/>
        <v>50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IFERROR(__xludf.DUMMYFUNCTION("IMPORTRANGE(""https://docs.google.com/spreadsheets/d/1QqKyyYR6Q21VydFLVH3TRQUabQu_ym0Zz7PgGX0-kHA/edit?usp=sharing"",""แผน!FC88"")"),45)</f>
        <v>45</v>
      </c>
      <c r="J435" s="578">
        <v>45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IFERROR(__xludf.DUMMYFUNCTION("IMPORTRANGE(""https://docs.google.com/spreadsheets/d/1QqKyyYR6Q21VydFLVH3TRQUabQu_ym0Zz7PgGX0-kHA/edit?usp=sharing"",""แผน!FD88"")"),30)</f>
        <v>30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IFERROR(__xludf.DUMMYFUNCTION("IMPORTRANGE(""https://docs.google.com/spreadsheets/d/1QqKyyYR6Q21VydFLVH3TRQUabQu_ym0Zz7PgGX0-kHA/edit?usp=sharing"",""แผน!FE88"")"),1)</f>
        <v>1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IFERROR(__xludf.DUMMYFUNCTION("IMPORTRANGE(""https://docs.google.com/spreadsheets/d/1QqKyyYR6Q21VydFLVH3TRQUabQu_ym0Zz7PgGX0-kHA/edit?usp=sharing"",""แผน!FF88"")"),15)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IFERROR(__xludf.DUMMYFUNCTION("IMPORTRANGE(""https://docs.google.com/spreadsheets/d/1QqKyyYR6Q21VydFLVH3TRQUabQu_ym0Zz7PgGX0-kHA/edit?usp=sharing"",""แผน!FG88"")"),1)</f>
        <v>1</v>
      </c>
      <c r="J440" s="214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IFERROR(__xludf.DUMMYFUNCTION("IMPORTRANGE(""https://docs.google.com/spreadsheets/d/1QqKyyYR6Q21VydFLVH3TRQUabQu_ym0Zz7PgGX0-kHA/edit?usp=sharing"",""แผน!FH88"")"),0)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40</v>
      </c>
      <c r="J442" s="584">
        <f t="shared" si="195"/>
        <v>40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80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317680</v>
      </c>
      <c r="M444" s="195">
        <f t="shared" si="197"/>
        <v>0</v>
      </c>
      <c r="N444" s="195">
        <f t="shared" si="197"/>
        <v>61034.35</v>
      </c>
      <c r="O444" s="195">
        <f t="shared" ref="O444:O449" ca="1" si="198">IF(L444&gt;0,N444*100/L444,0)</f>
        <v>19.21252518257366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317680</v>
      </c>
      <c r="M446" s="93">
        <f t="shared" si="200"/>
        <v>0</v>
      </c>
      <c r="N446" s="93">
        <f t="shared" si="200"/>
        <v>61034.35</v>
      </c>
      <c r="O446" s="93">
        <f t="shared" ca="1" si="198"/>
        <v>19.21252518257366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317680</v>
      </c>
      <c r="M447" s="497">
        <f t="shared" si="201"/>
        <v>0</v>
      </c>
      <c r="N447" s="497">
        <f t="shared" si="201"/>
        <v>61034.35</v>
      </c>
      <c r="O447" s="497">
        <f t="shared" ca="1" si="198"/>
        <v>19.21252518257366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v>0</v>
      </c>
      <c r="N449" s="93">
        <f>N450+N451+N452+N453</f>
        <v>61034.35</v>
      </c>
      <c r="O449" s="93">
        <f t="shared" ca="1" si="198"/>
        <v>19.21252518257366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33111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23833.35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f>360+3730</f>
        <v>4090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IFERROR(__xludf.DUMMYFUNCTION("IMPORTRANGE(""https://docs.google.com/spreadsheets/d/1QqKyyYR6Q21VydFLVH3TRQUabQu_ym0Zz7PgGX0-kHA/edit?usp=sharing"",""แผน!FN88"")"),40)</f>
        <v>40</v>
      </c>
      <c r="J460" s="214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IFERROR(__xludf.DUMMYFUNCTION("IMPORTRANGE(""https://docs.google.com/spreadsheets/d/1QqKyyYR6Q21VydFLVH3TRQUabQu_ym0Zz7PgGX0-kHA/edit?usp=sharing"",""แผน!FO88"")"),80)</f>
        <v>80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IFERROR(__xludf.DUMMYFUNCTION("IMPORTRANGE(""https://docs.google.com/spreadsheets/d/1QqKyyYR6Q21VydFLVH3TRQUabQu_ym0Zz7PgGX0-kHA/edit?usp=sharing"",""แผน!FO88"")"),80)</f>
        <v>80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IFERROR(__xludf.DUMMYFUNCTION("IMPORTRANGE(""https://docs.google.com/spreadsheets/d/1QqKyyYR6Q21VydFLVH3TRQUabQu_ym0Zz7PgGX0-kHA/edit?usp=sharing"",""แผน!FN88"")"),40)</f>
        <v>40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IFERROR(__xludf.DUMMYFUNCTION("IMPORTRANGE(""https://docs.google.com/spreadsheets/d/1QqKyyYR6Q21VydFLVH3TRQUabQu_ym0Zz7PgGX0-kHA/edit?usp=sharing"",""แผน!FX88"")"),71)</f>
        <v>71</v>
      </c>
      <c r="J465" s="584">
        <f>J485+J489+J492</f>
        <v>70</v>
      </c>
      <c r="K465" s="585">
        <f t="shared" ref="K465:K466" ca="1" si="205">IF(I465&gt;0,J465*100/I465,0)</f>
        <v>98.591549295774641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IFERROR(__xludf.DUMMYFUNCTION("IMPORTRANGE(""https://docs.google.com/spreadsheets/d/1QqKyyYR6Q21VydFLVH3TRQUabQu_ym0Zz7PgGX0-kHA/edit?usp=sharing"",""แผน!FW88"")"),700)</f>
        <v>700</v>
      </c>
      <c r="J466" s="564">
        <f>J483+J487</f>
        <v>700</v>
      </c>
      <c r="K466" s="565">
        <f t="shared" ca="1" si="205"/>
        <v>100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558663</v>
      </c>
      <c r="M467" s="195">
        <f t="shared" si="206"/>
        <v>0</v>
      </c>
      <c r="N467" s="195">
        <f t="shared" si="206"/>
        <v>104476</v>
      </c>
      <c r="O467" s="195">
        <f t="shared" ref="O467:O472" ca="1" si="207">IF(L467&gt;0,N467*100/L467,0)</f>
        <v>18.701077393706043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558663</v>
      </c>
      <c r="M469" s="93">
        <f t="shared" si="209"/>
        <v>0</v>
      </c>
      <c r="N469" s="93">
        <f t="shared" si="209"/>
        <v>104476</v>
      </c>
      <c r="O469" s="93">
        <f t="shared" ca="1" si="207"/>
        <v>18.701077393706043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558663</v>
      </c>
      <c r="M470" s="497">
        <f t="shared" si="210"/>
        <v>0</v>
      </c>
      <c r="N470" s="497">
        <f t="shared" si="210"/>
        <v>104476</v>
      </c>
      <c r="O470" s="497">
        <f t="shared" ca="1" si="207"/>
        <v>18.701077393706043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IFERROR(__xludf.DUMMYFUNCTION("IMPORTRANGE(""https://docs.google.com/spreadsheets/d/1QqKyyYR6Q21VydFLVH3TRQUabQu_ym0Zz7PgGX0-kHA/edit?usp=sharing"",""แผน!FS88"")"),558663)</f>
        <v>558663</v>
      </c>
      <c r="M472" s="93">
        <v>0</v>
      </c>
      <c r="N472" s="93">
        <f>N473+N474+N475+N476</f>
        <v>104476</v>
      </c>
      <c r="O472" s="93">
        <f t="shared" ca="1" si="207"/>
        <v>18.701077393706043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f>47299+35297</f>
        <v>82596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f>15740+4980+1160</f>
        <v>21880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IFERROR(__xludf.DUMMYFUNCTION("IMPORTRANGE(""https://docs.google.com/spreadsheets/d/1QqKyyYR6Q21VydFLVH3TRQUabQu_ym0Zz7PgGX0-kHA/edit?usp=sharing"",""แผน!FY88"")"),630)</f>
        <v>630</v>
      </c>
      <c r="J483" s="214">
        <v>630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63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IFERROR(__xludf.DUMMYFUNCTION("IMPORTRANGE(""https://docs.google.com/spreadsheets/d/1QqKyyYR6Q21VydFLVH3TRQUabQu_ym0Zz7PgGX0-kHA/edit?usp=sharing"",""แผน!FZ88"")"),63)</f>
        <v>63</v>
      </c>
      <c r="J485" s="214">
        <v>63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IFERROR(__xludf.DUMMYFUNCTION("IMPORTRANGE(""https://docs.google.com/spreadsheets/d/1QqKyyYR6Q21VydFLVH3TRQUabQu_ym0Zz7PgGX0-kHA/edit?usp=sharing"",""แผน!GA88"")"),70)</f>
        <v>70</v>
      </c>
      <c r="J487" s="214">
        <v>70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7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IFERROR(__xludf.DUMMYFUNCTION("IMPORTRANGE(""https://docs.google.com/spreadsheets/d/1QqKyyYR6Q21VydFLVH3TRQUabQu_ym0Zz7PgGX0-kHA/edit?usp=sharing"",""แผน!GB88"")"),7)</f>
        <v>7</v>
      </c>
      <c r="J489" s="214">
        <v>7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IFERROR(__xludf.DUMMYFUNCTION("IMPORTRANGE(""https://docs.google.com/spreadsheets/d/1QqKyyYR6Q21VydFLVH3TRQUabQu_ym0Zz7PgGX0-kHA/edit?usp=sharing"",""แผน!GC88"")"),1)</f>
        <v>1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IFERROR(__xludf.DUMMYFUNCTION("IMPORTRANGE(""https://docs.google.com/spreadsheets/d/1QqKyyYR6Q21VydFLVH3TRQUabQu_ym0Zz7PgGX0-kHA/edit?usp=sharing"",""แผน!FY88"")"),630)</f>
        <v>630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IFERROR(__xludf.DUMMYFUNCTION("IMPORTRANGE(""https://docs.google.com/spreadsheets/d/1QqKyyYR6Q21VydFLVH3TRQUabQu_ym0Zz7PgGX0-kHA/edit?usp=sharing"",""แผน!GA88"")"),70)</f>
        <v>70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30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277260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277260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277260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IFERROR(__xludf.DUMMYFUNCTION("IMPORTRANGE(""https://docs.google.com/spreadsheets/d/1QqKyyYR6Q21VydFLVH3TRQUabQu_ym0Zz7PgGX0-kHA/edit?usp=sharing"",""แผน!GU88"")"),30)</f>
        <v>30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IFERROR(__xludf.DUMMYFUNCTION("IMPORTRANGE(""https://docs.google.com/spreadsheets/d/1QqKyyYR6Q21VydFLVH3TRQUabQu_ym0Zz7PgGX0-kHA/edit?usp=sharing"",""แผน!GV88"")"),30)</f>
        <v>30</v>
      </c>
      <c r="J538" s="214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IFERROR(__xludf.DUMMYFUNCTION("IMPORTRANGE(""https://docs.google.com/spreadsheets/d/1QqKyyYR6Q21VydFLVH3TRQUabQu_ym0Zz7PgGX0-kHA/edit?usp=sharing"",""แผน!GW88"")"),0)</f>
        <v>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IFERROR(__xludf.DUMMYFUNCTION("IMPORTRANGE(""https://docs.google.com/spreadsheets/d/1QqKyyYR6Q21VydFLVH3TRQUabQu_ym0Zz7PgGX0-kHA/edit?usp=sharing"",""แผน!GX88"")"),0)</f>
        <v>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IFERROR(__xludf.DUMMYFUNCTION("IMPORTRANGE(""https://docs.google.com/spreadsheets/d/1QqKyyYR6Q21VydFLVH3TRQUabQu_ym0Zz7PgGX0-kHA/edit?usp=sharing"",""แผน!GY88"")"),30)</f>
        <v>30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IFERROR(__xludf.DUMMYFUNCTION("IMPORTRANGE(""https://docs.google.com/spreadsheets/d/1QqKyyYR6Q21VydFLVH3TRQUabQu_ym0Zz7PgGX0-kHA/edit?usp=sharing"",""แผน!GZ88"")"),30)</f>
        <v>30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89214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552585</v>
      </c>
      <c r="M544" s="155">
        <f t="shared" si="236"/>
        <v>0</v>
      </c>
      <c r="N544" s="155">
        <f t="shared" si="236"/>
        <v>49902.479999999996</v>
      </c>
      <c r="O544" s="155">
        <f t="shared" ref="O544:O549" ca="1" si="237">IF(L544&gt;0,N544*100/L544,0)</f>
        <v>9.0307337332718038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552585</v>
      </c>
      <c r="M546" s="93">
        <f t="shared" si="240"/>
        <v>0</v>
      </c>
      <c r="N546" s="93">
        <f t="shared" si="240"/>
        <v>49902.479999999996</v>
      </c>
      <c r="O546" s="93">
        <f t="shared" ca="1" si="237"/>
        <v>9.0307337332718038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552585</v>
      </c>
      <c r="M547" s="497">
        <f t="shared" si="241"/>
        <v>0</v>
      </c>
      <c r="N547" s="497">
        <f t="shared" si="241"/>
        <v>49902.479999999996</v>
      </c>
      <c r="O547" s="497">
        <f t="shared" ca="1" si="237"/>
        <v>9.0307337332718038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IFERROR(__xludf.DUMMYFUNCTION("IMPORTRANGE(""https://docs.google.com/spreadsheets/d/1QqKyyYR6Q21VydFLVH3TRQUabQu_ym0Zz7PgGX0-kHA/edit?usp=sharing"",""แผน!HB88"")"),552585)</f>
        <v>552585</v>
      </c>
      <c r="M549" s="93">
        <v>0</v>
      </c>
      <c r="N549" s="93">
        <f>N550+N551+N552+N553+N554</f>
        <v>49902.479999999996</v>
      </c>
      <c r="O549" s="93">
        <f t="shared" ca="1" si="237"/>
        <v>9.0307337332718038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24266.68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25635.8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89214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42991</v>
      </c>
      <c r="K560" s="411">
        <f t="shared" ca="1" si="246"/>
        <v>48.188625103683279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2675</v>
      </c>
      <c r="K561" s="411">
        <f t="shared" ca="1" si="246"/>
        <v>35.229816936652178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40966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2514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1698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132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327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29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7600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IFERROR(__xludf.DUMMYFUNCTION("IMPORTRANGE(""https://docs.google.com/spreadsheets/d/1QqKyyYR6Q21VydFLVH3TRQUabQu_ym0Zz7PgGX0-kHA/edit?usp=sharing"",""แผน!HJ88"")"),7600)</f>
        <v>7600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IFERROR(__xludf.DUMMYFUNCTION("IMPORTRANGE(""https://docs.google.com/spreadsheets/d/1QqKyyYR6Q21VydFLVH3TRQUabQu_ym0Zz7PgGX0-kHA/edit?usp=sharing"",""แผน!HI88"")"),600)</f>
        <v>600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IFERROR(__xludf.DUMMYFUNCTION("IMPORTRANGE(""https://docs.google.com/spreadsheets/d/1QqKyyYR6Q21VydFLVH3TRQUabQu_ym0Zz7PgGX0-kHA/edit?usp=sharing"",""แผน!HL88"")"),0)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IFERROR(__xludf.DUMMYFUNCTION("IMPORTRANGE(""https://docs.google.com/spreadsheets/d/1QqKyyYR6Q21VydFLVH3TRQUabQu_ym0Zz7PgGX0-kHA/edit?usp=sharing"",""แผน!HK88"")"),0)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IFERROR(__xludf.DUMMYFUNCTION("IMPORTRANGE(""https://docs.google.com/spreadsheets/d/1QqKyyYR6Q21VydFLVH3TRQUabQu_ym0Zz7PgGX0-kHA/edit?usp=sharing"",""แผน!HR88"")"),0)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IFERROR(__xludf.DUMMYFUNCTION("IMPORTRANGE(""https://docs.google.com/spreadsheets/d/1QqKyyYR6Q21VydFLVH3TRQUabQu_ym0Zz7PgGX0-kHA/edit?usp=sharing"",""แผน!HR88"")"),0)</f>
        <v>0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IFERROR(__xludf.DUMMYFUNCTION("IMPORTRANGE(""https://docs.google.com/spreadsheets/d/1QqKyyYR6Q21VydFLVH3TRQUabQu_ym0Zz7PgGX0-kHA/edit?usp=sharing"",""แผน!HS88"")"),0)</f>
        <v>0</v>
      </c>
      <c r="J647" s="269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IFERROR(__xludf.DUMMYFUNCTION("IMPORTRANGE(""https://docs.google.com/spreadsheets/d/1XWAQStnk-4SwqDmLtmXYiTMKHgktTP8We1SCoS47DrQ/edit?usp=sharing"",""จัดที่ดิน!AV88"")"),0)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IFERROR(__xludf.DUMMYFUNCTION("IMPORTRANGE(""https://docs.google.com/spreadsheets/d/1QqKyyYR6Q21VydFLVH3TRQUabQu_ym0Zz7PgGX0-kHA/edit?usp=sharing"",""แผน!HS88"")"),0)</f>
        <v>0</v>
      </c>
      <c r="J649" s="269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IFERROR(__xludf.DUMMYFUNCTION("IMPORTRANGE(""https://docs.google.com/spreadsheets/d/1QqKyyYR6Q21VydFLVH3TRQUabQu_ym0Zz7PgGX0-kHA/edit?usp=sharing"",""แผน!HS88"")"),0)</f>
        <v>0</v>
      </c>
      <c r="J651" s="269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IFERROR(__xludf.DUMMYFUNCTION("IMPORTRANGE(""https://docs.google.com/spreadsheets/d/1XWAQStnk-4SwqDmLtmXYiTMKHgktTP8We1SCoS47DrQ/edit?usp=sharing"",""จัดที่ดิน!AZ88"")"),0)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IFERROR(__xludf.DUMMYFUNCTION("IMPORTRANGE(""https://docs.google.com/spreadsheets/d/1QqKyyYR6Q21VydFLVH3TRQUabQu_ym0Zz7PgGX0-kHA/edit?usp=sharing"",""แผน!IA88"")"),0)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IFERROR(__xludf.DUMMYFUNCTION("IMPORTRANGE(""https://docs.google.com/spreadsheets/d/1QqKyyYR6Q21VydFLVH3TRQUabQu_ym0Zz7PgGX0-kHA/edit?usp=sharing"",""แผน!HZ88"")"),0)</f>
        <v>0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IFERROR(__xludf.DUMMYFUNCTION("IMPORTRANGE(""https://docs.google.com/spreadsheets/d/1QqKyyYR6Q21VydFLVH3TRQUabQu_ym0Zz7PgGX0-kHA/edit?usp=sharing"",""แผน!HZ88"")"),0)</f>
        <v>0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IFERROR(__xludf.DUMMYFUNCTION("IMPORTRANGE(""https://docs.google.com/spreadsheets/d/1QqKyyYR6Q21VydFLVH3TRQUabQu_ym0Zz7PgGX0-kHA/edit?usp=sharing"",""แผน!IB88"")"),0)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IFERROR(__xludf.DUMMYFUNCTION("IMPORTRANGE(""https://docs.google.com/spreadsheets/d/1QqKyyYR6Q21VydFLVH3TRQUabQu_ym0Zz7PgGX0-kHA/edit?usp=sharing"",""แผน!IC88"")"),0)</f>
        <v>0</v>
      </c>
      <c r="J699" s="269">
        <f ca="1">IFERROR(__xludf.DUMMYFUNCTION("IMPORTRANGE(""https://docs.google.com/spreadsheets/d/1XWAQStnk-4SwqDmLtmXYiTMKHgktTP8We1SCoS47DrQ/edit?usp=sharing"",""จัดที่ดิน!BB88"")"),0)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IFERROR(__xludf.DUMMYFUNCTION("IMPORTRANGE(""https://docs.google.com/spreadsheets/d/1QqKyyYR6Q21VydFLVH3TRQUabQu_ym0Zz7PgGX0-kHA/edit?usp=sharing"",""แผน!ID88"")"),0)</f>
        <v>0</v>
      </c>
      <c r="J700" s="269">
        <f ca="1">IFERROR(__xludf.DUMMYFUNCTION("IMPORTRANGE(""https://docs.google.com/spreadsheets/d/1XWAQStnk-4SwqDmLtmXYiTMKHgktTP8We1SCoS47DrQ/edit?usp=sharing"",""จัดที่ดิน!BD88"")"),0)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IFERROR(__xludf.DUMMYFUNCTION("IMPORTRANGE(""https://docs.google.com/spreadsheets/d/1QqKyyYR6Q21VydFLVH3TRQUabQu_ym0Zz7PgGX0-kHA/edit?usp=sharing"",""แผน!IE88"")"),0)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IFERROR(__xludf.DUMMYFUNCTION("IMPORTRANGE(""https://docs.google.com/spreadsheets/d/1QqKyyYR6Q21VydFLVH3TRQUabQu_ym0Zz7PgGX0-kHA/edit?usp=sharing"",""แผน!IF88"")"),0)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IFERROR(__xludf.DUMMYFUNCTION("IMPORTRANGE(""https://docs.google.com/spreadsheets/d/1QqKyyYR6Q21VydFLVH3TRQUabQu_ym0Zz7PgGX0-kHA/edit?usp=sharing"",""แผน!IG88"")"),0)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IFERROR(__xludf.DUMMYFUNCTION("IMPORTRANGE(""https://docs.google.com/spreadsheets/d/1QqKyyYR6Q21VydFLVH3TRQUabQu_ym0Zz7PgGX0-kHA/edit?usp=sharing"",""แผน!IH88"")"),0)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IFERROR(__xludf.DUMMYFUNCTION("IMPORTRANGE(""https://docs.google.com/spreadsheets/d/1XWAQStnk-4SwqDmLtmXYiTMKHgktTP8We1SCoS47DrQ/edit?usp=sharing"",""จัดที่ดิน!BF88"")"),0)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IFERROR(__xludf.DUMMYFUNCTION("IMPORTRANGE(""https://docs.google.com/spreadsheets/d/1XWAQStnk-4SwqDmLtmXYiTMKHgktTP8We1SCoS47DrQ/edit?usp=sharing"",""จัดที่ดิน!BG88"")"),0)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IFERROR(__xludf.DUMMYFUNCTION("IMPORTRANGE(""https://docs.google.com/spreadsheets/d/1QqKyyYR6Q21VydFLVH3TRQUabQu_ym0Zz7PgGX0-kHA/edit?usp=sharing"",""แผน!II88"")"),0)</f>
        <v>0</v>
      </c>
      <c r="J720" s="269">
        <f ca="1">IFERROR(__xludf.DUMMYFUNCTION("IMPORTRANGE(""https://docs.google.com/spreadsheets/d/1XWAQStnk-4SwqDmLtmXYiTMKHgktTP8We1SCoS47DrQ/edit?usp=sharing"",""จัดที่ดิน!BH88"")"),0)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IFERROR(__xludf.DUMMYFUNCTION("IMPORTRANGE(""https://docs.google.com/spreadsheets/d/1QqKyyYR6Q21VydFLVH3TRQUabQu_ym0Zz7PgGX0-kHA/edit?usp=sharing"",""แผน!IJ88"")"),0)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IFERROR(__xludf.DUMMYFUNCTION("IMPORTRANGE(""https://docs.google.com/spreadsheets/d/1QqKyyYR6Q21VydFLVH3TRQUabQu_ym0Zz7PgGX0-kHA/edit?usp=sharing"",""แผน!IK88"")"),0)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IFERROR(__xludf.DUMMYFUNCTION("IMPORTRANGE(""https://docs.google.com/spreadsheets/d/1QqKyyYR6Q21VydFLVH3TRQUabQu_ym0Zz7PgGX0-kHA/edit?usp=sharing"",""แผน!IL88"")"),0)</f>
        <v>0</v>
      </c>
      <c r="J723" s="269">
        <f ca="1">IFERROR(__xludf.DUMMYFUNCTION("IMPORTRANGE(""https://docs.google.com/spreadsheets/d/1XWAQStnk-4SwqDmLtmXYiTMKHgktTP8We1SCoS47DrQ/edit?usp=sharing"",""จัดที่ดิน!BM88"")"),0)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IFERROR(__xludf.DUMMYFUNCTION("IMPORTRANGE(""https://docs.google.com/spreadsheets/d/1XWAQStnk-4SwqDmLtmXYiTMKHgktTP8We1SCoS47DrQ/edit?usp=sharing"",""จัดที่ดิน!BN88"")"),0)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IFERROR(__xludf.DUMMYFUNCTION("IMPORTRANGE(""https://docs.google.com/spreadsheets/d/1QqKyyYR6Q21VydFLVH3TRQUabQu_ym0Zz7PgGX0-kHA/edit?usp=sharing"",""แผน!IM88"")"),0)</f>
        <v>0</v>
      </c>
      <c r="J725" s="269">
        <f ca="1">IFERROR(__xludf.DUMMYFUNCTION("IMPORTRANGE(""https://docs.google.com/spreadsheets/d/1XWAQStnk-4SwqDmLtmXYiTMKHgktTP8We1SCoS47DrQ/edit?usp=sharing"",""จัดที่ดิน!BO88"")"),0)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IFERROR(__xludf.DUMMYFUNCTION("IMPORTRANGE(""https://docs.google.com/spreadsheets/d/1QqKyyYR6Q21VydFLVH3TRQUabQu_ym0Zz7PgGX0-kHA/edit?usp=sharing"",""แผน!IN88"")"),0)</f>
        <v>0</v>
      </c>
      <c r="J726" s="269">
        <f ca="1">IFERROR(__xludf.DUMMYFUNCTION("IMPORTRANGE(""https://docs.google.com/spreadsheets/d/1XWAQStnk-4SwqDmLtmXYiTMKHgktTP8We1SCoS47DrQ/edit?usp=sharing"",""จัดที่ดิน!BR88"")"),0)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IFERROR(__xludf.DUMMYFUNCTION("IMPORTRANGE(""https://docs.google.com/spreadsheets/d/1XWAQStnk-4SwqDmLtmXYiTMKHgktTP8We1SCoS47DrQ/edit?usp=sharing"",""จัดที่ดิน!BS88"")"),0)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IFERROR(__xludf.DUMMYFUNCTION("IMPORTRANGE(""https://docs.google.com/spreadsheets/d/1QqKyyYR6Q21VydFLVH3TRQUabQu_ym0Zz7PgGX0-kHA/edit?usp=sharing"",""แผน!IO88"")"),0)</f>
        <v>0</v>
      </c>
      <c r="J728" s="269">
        <f ca="1">IFERROR(__xludf.DUMMYFUNCTION("IMPORTRANGE(""https://docs.google.com/spreadsheets/d/1XWAQStnk-4SwqDmLtmXYiTMKHgktTP8We1SCoS47DrQ/edit?usp=sharing"",""จัดที่ดิน!BT88"")"),0)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IFERROR(__xludf.DUMMYFUNCTION("IMPORTRANGE(""https://docs.google.com/spreadsheets/d/1QqKyyYR6Q21VydFLVH3TRQUabQu_ym0Zz7PgGX0-kHA/edit?usp=sharing"",""แผน!IP88"")"),0)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IFERROR(__xludf.DUMMYFUNCTION("IMPORTRANGE(""https://docs.google.com/spreadsheets/d/1MaWodYyGHDf7siQLGxnXhG4mBNTNIuy296niS2xXulU/edit?usp=sharing"",""RTK!I88"")"),0)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341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69">
        <f ca="1">IFERROR(__xludf.DUMMYFUNCTION("IMPORTRANGE(""https://docs.google.com/spreadsheets/d/19vJNZY_5yjcGF2XGBMNZRCAIB0Kwfpjp8YEOfu-bneM/edit?usp=sharing"",""งานกองทุน!F88"")"),19964.85)</f>
        <v>19964.849999999999</v>
      </c>
      <c r="K821" s="497">
        <f t="shared" ref="K821:K828" ca="1" si="335">IF(I821&gt;0,J821*100/I821,0)</f>
        <v>0.45571612037389964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IFERROR(__xludf.DUMMYFUNCTION("IMPORTRANGE(""https://docs.google.com/spreadsheets/d/19vJNZY_5yjcGF2XGBMNZRCAIB0Kwfpjp8YEOfu-bneM/edit?usp=sharing"",""งานกองทุน!C88"")"),276)</f>
        <v>276</v>
      </c>
      <c r="J822" s="269">
        <f ca="1">IFERROR(__xludf.DUMMYFUNCTION("IMPORTRANGE(""https://docs.google.com/spreadsheets/d/19vJNZY_5yjcGF2XGBMNZRCAIB0Kwfpjp8YEOfu-bneM/edit?usp=sharing"",""งานกองทุน!E88"")"),5)</f>
        <v>5</v>
      </c>
      <c r="K822" s="497">
        <f t="shared" ca="1" si="335"/>
        <v>1.8115942028985508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69">
        <f ca="1">IFERROR(__xludf.DUMMYFUNCTION("IMPORTRANGE(""https://docs.google.com/spreadsheets/d/19vJNZY_5yjcGF2XGBMNZRCAIB0Kwfpjp8YEOfu-bneM/edit?usp=sharing"",""งานกองทุน!K88"")"),99322.42)</f>
        <v>99322.42</v>
      </c>
      <c r="K823" s="497">
        <f t="shared" ca="1" si="335"/>
        <v>5.5588238377266403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IFERROR(__xludf.DUMMYFUNCTION("IMPORTRANGE(""https://docs.google.com/spreadsheets/d/19vJNZY_5yjcGF2XGBMNZRCAIB0Kwfpjp8YEOfu-bneM/edit?usp=sharing"",""งานกองทุน!H88"")"),60)</f>
        <v>60</v>
      </c>
      <c r="J824" s="269">
        <f ca="1">IFERROR(__xludf.DUMMYFUNCTION("IMPORTRANGE(""https://docs.google.com/spreadsheets/d/19vJNZY_5yjcGF2XGBMNZRCAIB0Kwfpjp8YEOfu-bneM/edit?usp=sharing"",""งานกองทุน!J88"")"),27)</f>
        <v>27</v>
      </c>
      <c r="K824" s="497">
        <f t="shared" ca="1" si="335"/>
        <v>45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IFERROR(__xludf.DUMMYFUNCTION("IMPORTRANGE(""https://docs.google.com/spreadsheets/d/19vJNZY_5yjcGF2XGBMNZRCAIB0Kwfpjp8YEOfu-bneM/edit?usp=sharing"",""งานกองทุน!N88"")"),6822)</f>
        <v>6822</v>
      </c>
      <c r="J825" s="269">
        <f ca="1">IFERROR(__xludf.DUMMYFUNCTION("IMPORTRANGE(""https://docs.google.com/spreadsheets/d/19vJNZY_5yjcGF2XGBMNZRCAIB0Kwfpjp8YEOfu-bneM/edit?usp=sharing"",""งานกองทุน!P88"")"),0)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IFERROR(__xludf.DUMMYFUNCTION("IMPORTRANGE(""https://docs.google.com/spreadsheets/d/19vJNZY_5yjcGF2XGBMNZRCAIB0Kwfpjp8YEOfu-bneM/edit?usp=sharing"",""งานกองทุน!M88"")"),10)</f>
        <v>10</v>
      </c>
      <c r="J826" s="269">
        <f ca="1">IFERROR(__xludf.DUMMYFUNCTION("IMPORTRANGE(""https://docs.google.com/spreadsheets/d/19vJNZY_5yjcGF2XGBMNZRCAIB0Kwfpjp8YEOfu-bneM/edit?usp=sharing"",""งานกองทุน!O88"")"),0)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IFERROR(__xludf.DUMMYFUNCTION("IMPORTRANGE(""https://docs.google.com/spreadsheets/d/19vJNZY_5yjcGF2XGBMNZRCAIB0Kwfpjp8YEOfu-bneM/edit?usp=sharing"",""งานกองทุน!S88"")"),2150000)</f>
        <v>2150000</v>
      </c>
      <c r="J827" s="269">
        <f ca="1">IFERROR(__xludf.DUMMYFUNCTION("IMPORTRANGE(""https://docs.google.com/spreadsheets/d/19vJNZY_5yjcGF2XGBMNZRCAIB0Kwfpjp8YEOfu-bneM/edit?usp=sharing"",""งานกองทุน!U88"")"),0)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IFERROR(__xludf.DUMMYFUNCTION("IMPORTRANGE(""https://docs.google.com/spreadsheets/d/19vJNZY_5yjcGF2XGBMNZRCAIB0Kwfpjp8YEOfu-bneM/edit?usp=sharing"",""งานกองทุน!R88"")"),86)</f>
        <v>86</v>
      </c>
      <c r="J828" s="500">
        <f ca="1">IFERROR(__xludf.DUMMYFUNCTION("IMPORTRANGE(""https://docs.google.com/spreadsheets/d/19vJNZY_5yjcGF2XGBMNZRCAIB0Kwfpjp8YEOfu-bneM/edit?usp=sharing"",""งานกองทุน!T88"")"),0)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473C7-9E68-4F10-8F29-3A12B0FA9E8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2.5703125" customWidth="1"/>
    <col min="12" max="13" width="23" bestFit="1" customWidth="1"/>
    <col min="14" max="14" width="21.2851562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329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68383897</v>
      </c>
      <c r="M8" s="22">
        <f t="shared" ca="1" si="0"/>
        <v>65284100</v>
      </c>
      <c r="N8" s="22">
        <f t="shared" ca="1" si="0"/>
        <v>5866994.3200000003</v>
      </c>
      <c r="O8" s="22">
        <f t="shared" ref="O8:O16" ca="1" si="1">IF(L8&gt;0,N8*100/L8,0)</f>
        <v>8.5794968952997817</v>
      </c>
      <c r="P8" s="22">
        <f t="shared" ref="P8:P16" ca="1" si="2">IF(M8&gt;0,N8*100/M8,0)</f>
        <v>8.9868655920813794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68383897</v>
      </c>
      <c r="M10" s="30">
        <f t="shared" ca="1" si="3"/>
        <v>65284100</v>
      </c>
      <c r="N10" s="30">
        <f t="shared" ca="1" si="3"/>
        <v>5866994.3200000003</v>
      </c>
      <c r="O10" s="30">
        <f t="shared" ca="1" si="1"/>
        <v>8.5794968952997817</v>
      </c>
      <c r="P10" s="30">
        <f t="shared" ca="1" si="2"/>
        <v>8.9868655920813794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4686097</v>
      </c>
      <c r="M11" s="497">
        <f t="shared" ca="1" si="4"/>
        <v>1586300</v>
      </c>
      <c r="N11" s="497">
        <f t="shared" ca="1" si="4"/>
        <v>811363.32000000007</v>
      </c>
      <c r="O11" s="497">
        <f t="shared" ca="1" si="1"/>
        <v>17.314266435372549</v>
      </c>
      <c r="P11" s="497">
        <f t="shared" ca="1" si="2"/>
        <v>51.14816365126395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4686097</v>
      </c>
      <c r="M13" s="93">
        <f t="shared" ca="1" si="5"/>
        <v>1586300</v>
      </c>
      <c r="N13" s="93">
        <f t="shared" ca="1" si="5"/>
        <v>811363.32000000007</v>
      </c>
      <c r="O13" s="93">
        <f t="shared" ca="1" si="1"/>
        <v>17.314266435372549</v>
      </c>
      <c r="P13" s="93">
        <f t="shared" ca="1" si="2"/>
        <v>51.14816365126395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63697800</v>
      </c>
      <c r="M14" s="497">
        <f t="shared" ca="1" si="6"/>
        <v>63697800</v>
      </c>
      <c r="N14" s="497">
        <f t="shared" ca="1" si="6"/>
        <v>5055631</v>
      </c>
      <c r="O14" s="497">
        <f t="shared" ca="1" si="1"/>
        <v>7.9369004894988526</v>
      </c>
      <c r="P14" s="497">
        <f t="shared" ca="1" si="2"/>
        <v>7.9369004894988526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63697800</v>
      </c>
      <c r="N16" s="52">
        <f t="shared" ca="1" si="7"/>
        <v>5055631</v>
      </c>
      <c r="O16" s="52">
        <f t="shared" ca="1" si="1"/>
        <v>7.9369004894988526</v>
      </c>
      <c r="P16" s="52">
        <f t="shared" ca="1" si="2"/>
        <v>7.9369004894988526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65284100</v>
      </c>
      <c r="N18" s="22">
        <f t="shared" ca="1" si="8"/>
        <v>5821538.3200000003</v>
      </c>
      <c r="O18" s="22">
        <f t="shared" ref="O18:O26" ca="1" si="9">IF(L18&gt;0,N18*100/L18,0)</f>
        <v>8.7115626358951435</v>
      </c>
      <c r="P18" s="22">
        <f t="shared" ref="P18:P26" ca="1" si="10">IF(M18&gt;0,N18*100/M18,0)</f>
        <v>8.9172376122210455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65284100</v>
      </c>
      <c r="N20" s="30">
        <f t="shared" ca="1" si="11"/>
        <v>5821538.3200000003</v>
      </c>
      <c r="O20" s="30">
        <f t="shared" ca="1" si="9"/>
        <v>8.7115626358951435</v>
      </c>
      <c r="P20" s="30">
        <f t="shared" ca="1" si="10"/>
        <v>8.9172376122210455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3127620</v>
      </c>
      <c r="M21" s="497">
        <f t="shared" ca="1" si="12"/>
        <v>1586300</v>
      </c>
      <c r="N21" s="497">
        <f t="shared" ca="1" si="12"/>
        <v>765907.32000000007</v>
      </c>
      <c r="O21" s="497">
        <f t="shared" ca="1" si="9"/>
        <v>24.48850307901855</v>
      </c>
      <c r="P21" s="497">
        <f t="shared" ca="1" si="10"/>
        <v>48.282627497951211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3127620</v>
      </c>
      <c r="M23" s="93">
        <f t="shared" ca="1" si="13"/>
        <v>1586300</v>
      </c>
      <c r="N23" s="93">
        <f t="shared" ca="1" si="13"/>
        <v>765907.32000000007</v>
      </c>
      <c r="O23" s="93">
        <f t="shared" ca="1" si="9"/>
        <v>24.48850307901855</v>
      </c>
      <c r="P23" s="93">
        <f t="shared" ca="1" si="10"/>
        <v>48.282627497951211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63697800</v>
      </c>
      <c r="M24" s="497">
        <f t="shared" ca="1" si="14"/>
        <v>63697800</v>
      </c>
      <c r="N24" s="497">
        <f t="shared" ca="1" si="14"/>
        <v>5055631</v>
      </c>
      <c r="O24" s="497">
        <f t="shared" ca="1" si="9"/>
        <v>7.9369004894988526</v>
      </c>
      <c r="P24" s="497">
        <f t="shared" ca="1" si="10"/>
        <v>7.9369004894988526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63697800</v>
      </c>
      <c r="N26" s="52">
        <f t="shared" ca="1" si="15"/>
        <v>5055631</v>
      </c>
      <c r="O26" s="52">
        <f t="shared" ca="1" si="9"/>
        <v>7.9369004894988526</v>
      </c>
      <c r="P26" s="52">
        <f t="shared" ca="1" si="10"/>
        <v>7.9369004894988526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1558477</v>
      </c>
      <c r="M28" s="22">
        <f t="shared" si="16"/>
        <v>0</v>
      </c>
      <c r="N28" s="22">
        <f t="shared" si="16"/>
        <v>45456</v>
      </c>
      <c r="O28" s="22">
        <f t="shared" ref="O28:O37" ca="1" si="17">IF(L28&gt;0,N28*100/L28,0)</f>
        <v>2.9166936695247987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1558477</v>
      </c>
      <c r="M30" s="30">
        <f t="shared" si="19"/>
        <v>0</v>
      </c>
      <c r="N30" s="30">
        <f t="shared" si="19"/>
        <v>45456</v>
      </c>
      <c r="O30" s="30">
        <f t="shared" ca="1" si="17"/>
        <v>2.9166936695247987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1558477</v>
      </c>
      <c r="M31" s="497">
        <f t="shared" si="20"/>
        <v>0</v>
      </c>
      <c r="N31" s="497">
        <f t="shared" si="20"/>
        <v>45456</v>
      </c>
      <c r="O31" s="497">
        <f t="shared" ca="1" si="17"/>
        <v>2.9166936695247987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1558477</v>
      </c>
      <c r="M33" s="93">
        <f t="shared" si="21"/>
        <v>0</v>
      </c>
      <c r="N33" s="93">
        <f t="shared" si="21"/>
        <v>45456</v>
      </c>
      <c r="O33" s="93">
        <f t="shared" ca="1" si="17"/>
        <v>2.9166936695247987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66825420</v>
      </c>
      <c r="M37" s="59">
        <f t="shared" ca="1" si="24"/>
        <v>65284100</v>
      </c>
      <c r="N37" s="59">
        <f t="shared" ca="1" si="24"/>
        <v>5821538.3200000003</v>
      </c>
      <c r="O37" s="59">
        <f t="shared" ca="1" si="17"/>
        <v>8.7115626358951435</v>
      </c>
      <c r="P37" s="59">
        <f t="shared" ca="1" si="18"/>
        <v>8.9172376122210455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274800</v>
      </c>
      <c r="N41" s="85">
        <f t="shared" ca="1" si="25"/>
        <v>129466.61</v>
      </c>
      <c r="O41" s="85">
        <f t="shared" ref="O41:O49" ca="1" si="26">IF(L41&gt;0,N41*100/L41,0)</f>
        <v>24.333541960342075</v>
      </c>
      <c r="P41" s="85">
        <f t="shared" ref="P41:P49" ca="1" si="27">IF(M41&gt;0,N41*100/M41,0)</f>
        <v>47.11303129548763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274800</v>
      </c>
      <c r="N43" s="92">
        <f t="shared" ca="1" si="28"/>
        <v>129466.61</v>
      </c>
      <c r="O43" s="92">
        <f t="shared" ca="1" si="26"/>
        <v>24.333541960342075</v>
      </c>
      <c r="P43" s="92">
        <f t="shared" ca="1" si="27"/>
        <v>47.11303129548763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532050</v>
      </c>
      <c r="M44" s="497">
        <f t="shared" ca="1" si="29"/>
        <v>274800</v>
      </c>
      <c r="N44" s="497">
        <f t="shared" ca="1" si="29"/>
        <v>129466.61</v>
      </c>
      <c r="O44" s="497">
        <f t="shared" ca="1" si="26"/>
        <v>24.333541960342075</v>
      </c>
      <c r="P44" s="497">
        <f t="shared" ca="1" si="27"/>
        <v>47.11303129548763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IFERROR(__xludf.DUMMYFUNCTION("IMPORTRANGE(""https://docs.google.com/spreadsheets/d/1MeEWN-I1oV_STSDYn1IFDPWt_1FKiwhDph83XaGc0o0/edit?usp=sharing"",""งบพรบ!R75"")"),274800)</f>
        <v>274800</v>
      </c>
      <c r="N46" s="93">
        <f ca="1">IFERROR(__xludf.DUMMYFUNCTION("IMPORTRANGE(""https://docs.google.com/spreadsheets/d/1MeEWN-I1oV_STSDYn1IFDPWt_1FKiwhDph83XaGc0o0/edit?usp=sharing"",""งบพรบ!T75"")"),129466.61)</f>
        <v>129466.61</v>
      </c>
      <c r="O46" s="93">
        <f t="shared" ca="1" si="26"/>
        <v>24.333541960342075</v>
      </c>
      <c r="P46" s="93">
        <f t="shared" ca="1" si="27"/>
        <v>47.11303129548763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327300</v>
      </c>
      <c r="N53" s="116">
        <f t="shared" ca="1" si="31"/>
        <v>225097.93</v>
      </c>
      <c r="O53" s="116">
        <f t="shared" ref="O53:O61" ca="1" si="32">IF(L53&gt;0,N53*100/L53,0)</f>
        <v>34.387095936449739</v>
      </c>
      <c r="P53" s="116">
        <f t="shared" ref="P53:P61" ca="1" si="33">IF(M53&gt;0,N53*100/M53,0)</f>
        <v>68.774191872899479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327300</v>
      </c>
      <c r="N55" s="123">
        <f t="shared" ca="1" si="34"/>
        <v>225097.93</v>
      </c>
      <c r="O55" s="123">
        <f t="shared" ca="1" si="32"/>
        <v>34.387095936449739</v>
      </c>
      <c r="P55" s="123">
        <f t="shared" ca="1" si="33"/>
        <v>68.774191872899479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654600</v>
      </c>
      <c r="M56" s="497">
        <f t="shared" ca="1" si="35"/>
        <v>327300</v>
      </c>
      <c r="N56" s="497">
        <f t="shared" ca="1" si="35"/>
        <v>225097.93</v>
      </c>
      <c r="O56" s="497">
        <f t="shared" ca="1" si="32"/>
        <v>34.387095936449739</v>
      </c>
      <c r="P56" s="497">
        <f t="shared" ca="1" si="33"/>
        <v>68.774191872899479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IFERROR(__xludf.DUMMYFUNCTION("IMPORTRANGE(""https://docs.google.com/spreadsheets/d/1MeEWN-I1oV_STSDYn1IFDPWt_1FKiwhDph83XaGc0o0/edit?usp=sharing"",""งบพรบ!AB75"")"),327300)</f>
        <v>327300</v>
      </c>
      <c r="N58" s="93">
        <f ca="1">IFERROR(__xludf.DUMMYFUNCTION("IMPORTRANGE(""https://docs.google.com/spreadsheets/d/1MeEWN-I1oV_STSDYn1IFDPWt_1FKiwhDph83XaGc0o0/edit?usp=sharing"",""งบพรบ!AD75"")"),225097.93)</f>
        <v>225097.93</v>
      </c>
      <c r="O58" s="93">
        <f t="shared" ca="1" si="32"/>
        <v>34.387095936449739</v>
      </c>
      <c r="P58" s="93">
        <f t="shared" ca="1" si="33"/>
        <v>68.774191872899479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688200</v>
      </c>
      <c r="M66" s="155">
        <f t="shared" ca="1" si="39"/>
        <v>330600</v>
      </c>
      <c r="N66" s="155">
        <f t="shared" ca="1" si="39"/>
        <v>153889.25</v>
      </c>
      <c r="O66" s="155">
        <f t="shared" ref="O66:O74" ca="1" si="40">IF(L66&gt;0,N66*100/L66,0)</f>
        <v>22.361123219994187</v>
      </c>
      <c r="P66" s="155">
        <f t="shared" ref="P66:P74" ca="1" si="41">IF(M66&gt;0,N66*100/M66,0)</f>
        <v>46.54847247428917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688200</v>
      </c>
      <c r="M68" s="93">
        <f t="shared" ca="1" si="42"/>
        <v>330600</v>
      </c>
      <c r="N68" s="93">
        <f t="shared" ca="1" si="42"/>
        <v>153889.25</v>
      </c>
      <c r="O68" s="93">
        <f t="shared" ca="1" si="40"/>
        <v>22.361123219994187</v>
      </c>
      <c r="P68" s="93">
        <f t="shared" ca="1" si="41"/>
        <v>46.54847247428917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688200</v>
      </c>
      <c r="M69" s="497">
        <f t="shared" ca="1" si="43"/>
        <v>330600</v>
      </c>
      <c r="N69" s="497">
        <f t="shared" ca="1" si="43"/>
        <v>153889.25</v>
      </c>
      <c r="O69" s="497">
        <f t="shared" ca="1" si="40"/>
        <v>22.361123219994187</v>
      </c>
      <c r="P69" s="497">
        <f t="shared" ca="1" si="41"/>
        <v>46.54847247428917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IFERROR(__xludf.DUMMYFUNCTION("IMPORTRANGE(""https://docs.google.com/spreadsheets/d/1MeEWN-I1oV_STSDYn1IFDPWt_1FKiwhDph83XaGc0o0/edit?usp=sharing"",""งบพรบ!AL75"")"),330600)</f>
        <v>330600</v>
      </c>
      <c r="N71" s="93">
        <f ca="1">IFERROR(__xludf.DUMMYFUNCTION("IMPORTRANGE(""https://docs.google.com/spreadsheets/d/1MeEWN-I1oV_STSDYn1IFDPWt_1FKiwhDph83XaGc0o0/edit?usp=sharing"",""งบพรบ!AN75"")"),153889.25)</f>
        <v>153889.25</v>
      </c>
      <c r="O71" s="93">
        <f t="shared" ca="1" si="40"/>
        <v>22.361123219994187</v>
      </c>
      <c r="P71" s="93">
        <f t="shared" ca="1" si="41"/>
        <v>46.54847247428917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30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21840</v>
      </c>
      <c r="N88" s="155">
        <f t="shared" ca="1" si="49"/>
        <v>19903</v>
      </c>
      <c r="O88" s="155">
        <f t="shared" ref="O88:O96" ca="1" si="50">IF(L88&gt;0,N88*100/L88,0)</f>
        <v>23.186160298229264</v>
      </c>
      <c r="P88" s="155">
        <f t="shared" ref="P88:P96" ca="1" si="51">IF(M88&gt;0,N88*100/M88,0)</f>
        <v>91.13095238095238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85840</v>
      </c>
      <c r="M90" s="93">
        <f t="shared" ca="1" si="52"/>
        <v>21840</v>
      </c>
      <c r="N90" s="93">
        <f t="shared" ca="1" si="52"/>
        <v>19903</v>
      </c>
      <c r="O90" s="93">
        <f t="shared" ca="1" si="50"/>
        <v>23.186160298229264</v>
      </c>
      <c r="P90" s="93">
        <f t="shared" ca="1" si="51"/>
        <v>91.13095238095238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21840</v>
      </c>
      <c r="N91" s="497">
        <f t="shared" ca="1" si="53"/>
        <v>19903</v>
      </c>
      <c r="O91" s="497">
        <f t="shared" ca="1" si="50"/>
        <v>23.186160298229264</v>
      </c>
      <c r="P91" s="497">
        <f t="shared" ca="1" si="51"/>
        <v>91.13095238095238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IFERROR(__xludf.DUMMYFUNCTION("IMPORTRANGE(""https://docs.google.com/spreadsheets/d/1MeEWN-I1oV_STSDYn1IFDPWt_1FKiwhDph83XaGc0o0/edit?usp=sharing"",""งบพรบ!AV75"")"),21840)</f>
        <v>21840</v>
      </c>
      <c r="N93" s="93">
        <f ca="1">IFERROR(__xludf.DUMMYFUNCTION("IMPORTRANGE(""https://docs.google.com/spreadsheets/d/1MeEWN-I1oV_STSDYn1IFDPWt_1FKiwhDph83XaGc0o0/edit?usp=sharing"",""งบพรบ!AX75"")"),19903)</f>
        <v>19903</v>
      </c>
      <c r="O93" s="93">
        <f t="shared" ca="1" si="50"/>
        <v>23.186160298229264</v>
      </c>
      <c r="P93" s="93">
        <f t="shared" ca="1" si="51"/>
        <v>91.13095238095238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IFERROR(__xludf.DUMMYFUNCTION("IMPORTRANGE(""https://docs.google.com/spreadsheets/d/1QqKyyYR6Q21VydFLVH3TRQUabQu_ym0Zz7PgGX0-kHA/edit?usp=sharing"",""แผน!K75"")"),30)</f>
        <v>30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IFERROR(__xludf.DUMMYFUNCTION("IMPORTRANGE(""https://docs.google.com/spreadsheets/d/1QqKyyYR6Q21VydFLVH3TRQUabQu_ym0Zz7PgGX0-kHA/edit?usp=sharing"",""แผน!L75"")"),10)</f>
        <v>10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IFERROR(__xludf.DUMMYFUNCTION("IMPORTRANGE(""https://docs.google.com/spreadsheets/d/1QqKyyYR6Q21VydFLVH3TRQUabQu_ym0Zz7PgGX0-kHA/edit?usp=sharing"",""แผน!M75"")"),2)</f>
        <v>2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IFERROR(__xludf.DUMMYFUNCTION("IMPORTRANGE(""https://docs.google.com/spreadsheets/d/1QqKyyYR6Q21VydFLVH3TRQUabQu_ym0Zz7PgGX0-kHA/edit?usp=sharing"",""แผน!N75"")"),30)</f>
        <v>30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IFERROR(__xludf.DUMMYFUNCTION("IMPORTRANGE(""https://docs.google.com/spreadsheets/d/1QqKyyYR6Q21VydFLVH3TRQUabQu_ym0Zz7PgGX0-kHA/edit?usp=sharing"",""แผน!O75"")"),10)</f>
        <v>10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IFERROR(__xludf.DUMMYFUNCTION("IMPORTRANGE(""https://docs.google.com/spreadsheets/d/1QqKyyYR6Q21VydFLVH3TRQUabQu_ym0Zz7PgGX0-kHA/edit?usp=sharing"",""แผน!O75"")"),10)</f>
        <v>10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IFERROR(__xludf.DUMMYFUNCTION("IMPORTRANGE(""https://docs.google.com/spreadsheets/d/1QqKyyYR6Q21VydFLVH3TRQUabQu_ym0Zz7PgGX0-kHA/edit?usp=sharing"",""แผน!P75"")"),1)</f>
        <v>1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IFERROR(__xludf.DUMMYFUNCTION("IMPORTRANGE(""https://docs.google.com/spreadsheets/d/1QqKyyYR6Q21VydFLVH3TRQUabQu_ym0Zz7PgGX0-kHA/edit?usp=sharing"",""แผน!P75"")"),1)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IFERROR(__xludf.DUMMYFUNCTION("IMPORTRANGE(""https://docs.google.com/spreadsheets/d/1QqKyyYR6Q21VydFLVH3TRQUabQu_ym0Zz7PgGX0-kHA/edit?usp=sharing"",""แผน!Q75"")"),1)</f>
        <v>1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IFERROR(__xludf.DUMMYFUNCTION("IMPORTRANGE(""https://docs.google.com/spreadsheets/d/1QqKyyYR6Q21VydFLVH3TRQUabQu_ym0Zz7PgGX0-kHA/edit?usp=sharing"",""แผน!Q75"")"),1)</f>
        <v>1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IFERROR(__xludf.DUMMYFUNCTION("IMPORTRANGE(""https://docs.google.com/spreadsheets/d/1QqKyyYR6Q21VydFLVH3TRQUabQu_ym0Zz7PgGX0-kHA/edit?usp=sharing"",""แผน!U75"")"),0)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IFERROR(__xludf.DUMMYFUNCTION("IMPORTRANGE(""https://docs.google.com/spreadsheets/d/1QqKyyYR6Q21VydFLVH3TRQUabQu_ym0Zz7PgGX0-kHA/edit?usp=sharing"",""แผน!V75"")"),0)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IFERROR(__xludf.DUMMYFUNCTION("IMPORTRANGE(""https://docs.google.com/spreadsheets/d/1QqKyyYR6Q21VydFLVH3TRQUabQu_ym0Zz7PgGX0-kHA/edit?usp=sharing"",""แผน!W75"")"),0)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IFERROR(__xludf.DUMMYFUNCTION("IMPORTRANGE(""https://docs.google.com/spreadsheets/d/1MeEWN-I1oV_STSDYn1IFDPWt_1FKiwhDph83XaGc0o0/edit?usp=sharing"",""งบพรบ!BZ75"")"),0)</f>
        <v>0</v>
      </c>
      <c r="N154" s="93">
        <f ca="1">IFERROR(__xludf.DUMMYFUNCTION("IMPORTRANGE(""https://docs.google.com/spreadsheets/d/1MeEWN-I1oV_STSDYn1IFDPWt_1FKiwhDph83XaGc0o0/edit?usp=sharing"",""งบพรบ!CB75"")"),0)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IFERROR(__xludf.DUMMYFUNCTION("IMPORTRANGE(""https://docs.google.com/spreadsheets/d/1QqKyyYR6Q21VydFLVH3TRQUabQu_ym0Zz7PgGX0-kHA/edit?usp=sharing"",""แผน!X75"")"),0)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50">
        <f t="shared" ref="I164:J164" ca="1" si="83">I174+I177</f>
        <v>0</v>
      </c>
      <c r="J164" s="850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IFERROR(__xludf.DUMMYFUNCTION("IMPORTRANGE(""https://docs.google.com/spreadsheets/d/1QqKyyYR6Q21VydFLVH3TRQUabQu_ym0Zz7PgGX0-kHA/edit?usp=sharing"",""แผน!Y75"")"),0)</f>
        <v>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60500</v>
      </c>
      <c r="M181" s="155">
        <f t="shared" ca="1" si="92"/>
        <v>31000</v>
      </c>
      <c r="N181" s="155">
        <f t="shared" ca="1" si="92"/>
        <v>240</v>
      </c>
      <c r="O181" s="155">
        <f t="shared" ref="O181:O189" ca="1" si="93">IF(L181&gt;0,N181*100/L181,0)</f>
        <v>0.39669421487603307</v>
      </c>
      <c r="P181" s="155">
        <f t="shared" ref="P181:P189" ca="1" si="94">IF(M181&gt;0,N181*100/M181,0)</f>
        <v>0.77419354838709675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60500</v>
      </c>
      <c r="M183" s="93">
        <f t="shared" ca="1" si="95"/>
        <v>31000</v>
      </c>
      <c r="N183" s="93">
        <f t="shared" ca="1" si="95"/>
        <v>240</v>
      </c>
      <c r="O183" s="93">
        <f t="shared" ca="1" si="93"/>
        <v>0.39669421487603307</v>
      </c>
      <c r="P183" s="93">
        <f t="shared" ca="1" si="94"/>
        <v>0.77419354838709675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60500</v>
      </c>
      <c r="M184" s="497">
        <f t="shared" ca="1" si="96"/>
        <v>31000</v>
      </c>
      <c r="N184" s="497">
        <f t="shared" ca="1" si="96"/>
        <v>240</v>
      </c>
      <c r="O184" s="497">
        <f t="shared" ca="1" si="93"/>
        <v>0.39669421487603307</v>
      </c>
      <c r="P184" s="497">
        <f t="shared" ca="1" si="94"/>
        <v>0.77419354838709675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IFERROR(__xludf.DUMMYFUNCTION("IMPORTRANGE(""https://docs.google.com/spreadsheets/d/1MeEWN-I1oV_STSDYn1IFDPWt_1FKiwhDph83XaGc0o0/edit?usp=sharing"",""งบพรบ!CT75"")"),31000)</f>
        <v>31000</v>
      </c>
      <c r="N186" s="93">
        <f ca="1">IFERROR(__xludf.DUMMYFUNCTION("IMPORTRANGE(""https://docs.google.com/spreadsheets/d/1MeEWN-I1oV_STSDYn1IFDPWt_1FKiwhDph83XaGc0o0/edit?usp=sharing"",""งบพรบ!CV75"")"),240)</f>
        <v>240</v>
      </c>
      <c r="O186" s="93">
        <f t="shared" ca="1" si="93"/>
        <v>0.39669421487603307</v>
      </c>
      <c r="P186" s="93">
        <f t="shared" ca="1" si="94"/>
        <v>0.77419354838709675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IFERROR(__xludf.DUMMYFUNCTION("IMPORTRANGE(""https://docs.google.com/spreadsheets/d/1QqKyyYR6Q21VydFLVH3TRQUabQu_ym0Zz7PgGX0-kHA/edit?usp=sharing"",""แผน!AC75"")"),4)</f>
        <v>4</v>
      </c>
      <c r="J193" s="214">
        <v>0</v>
      </c>
      <c r="K193" s="497">
        <f ca="1">IF(I193&gt;0,J193*100/I193,0)</f>
        <v>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IFERROR(__xludf.DUMMYFUNCTION("IMPORTRANGE(""https://docs.google.com/spreadsheets/d/1QqKyyYR6Q21VydFLVH3TRQUabQu_ym0Zz7PgGX0-kHA/edit?usp=sharing"",""แผน!AE75"")"),2000)</f>
        <v>2000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IFERROR(__xludf.DUMMYFUNCTION("IMPORTRANGE(""https://docs.google.com/spreadsheets/d/1QqKyyYR6Q21VydFLVH3TRQUabQu_ym0Zz7PgGX0-kHA/edit?usp=sharing"",""แผน!AF75"")"),16000)</f>
        <v>16000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IFERROR(__xludf.DUMMYFUNCTION("IMPORTRANGE(""https://docs.google.com/spreadsheets/d/1QqKyyYR6Q21VydFLVH3TRQUabQu_ym0Zz7PgGX0-kHA/edit?usp=sharing"",""แผน!AG75"")"),8000)</f>
        <v>8000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IFERROR(__xludf.DUMMYFUNCTION("IMPORTRANGE(""https://docs.google.com/spreadsheets/d/1QqKyyYR6Q21VydFLVH3TRQUabQu_ym0Zz7PgGX0-kHA/edit?usp=sharing"",""แผน!AH75"")"),0)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IFERROR(__xludf.DUMMYFUNCTION("IMPORTRANGE(""https://docs.google.com/spreadsheets/d/1QqKyyYR6Q21VydFLVH3TRQUabQu_ym0Zz7PgGX0-kHA/edit?usp=sharing"",""แผน!AI75"")"),2)</f>
        <v>2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IFERROR(__xludf.DUMMYFUNCTION("IMPORTRANGE(""https://docs.google.com/spreadsheets/d/1QqKyyYR6Q21VydFLVH3TRQUabQu_ym0Zz7PgGX0-kHA/edit?usp=sharing"",""แผน!AK75"")"),0)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IFERROR(__xludf.DUMMYFUNCTION("IMPORTRANGE(""https://docs.google.com/spreadsheets/d/1QqKyyYR6Q21VydFLVH3TRQUabQu_ym0Zz7PgGX0-kHA/edit?usp=sharing"",""แผน!AL75"")"),0)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IFERROR(__xludf.DUMMYFUNCTION("IMPORTRANGE(""https://docs.google.com/spreadsheets/d/1QqKyyYR6Q21VydFLVH3TRQUabQu_ym0Zz7PgGX0-kHA/edit?usp=sharing"",""แผน!AM75"")"),0)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IFERROR(__xludf.DUMMYFUNCTION("IMPORTRANGE(""https://docs.google.com/spreadsheets/d/1QqKyyYR6Q21VydFLVH3TRQUabQu_ym0Zz7PgGX0-kHA/edit?usp=sharing"",""แผน!AN75"")"),0)</f>
        <v>0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IFERROR(__xludf.DUMMYFUNCTION("IMPORTRANGE(""https://docs.google.com/spreadsheets/d/1QqKyyYR6Q21VydFLVH3TRQUabQu_ym0Zz7PgGX0-kHA/edit?usp=sharing"",""แผน!AN75"")"),0)</f>
        <v>0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50000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28500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IFERROR(__xludf.DUMMYFUNCTION("IMPORTRANGE(""https://docs.google.com/spreadsheets/d/1QqKyyYR6Q21VydFLVH3TRQUabQu_ym0Zz7PgGX0-kHA/edit?usp=sharing"",""แผน!AP75"")"),5000)</f>
        <v>5000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IFERROR(__xludf.DUMMYFUNCTION("IMPORTRANGE(""https://docs.google.com/spreadsheets/d/1QqKyyYR6Q21VydFLVH3TRQUabQu_ym0Zz7PgGX0-kHA/edit?usp=sharing"",""แผน!AQ75"")"),13500)</f>
        <v>13500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IFERROR(__xludf.DUMMYFUNCTION("IMPORTRANGE(""https://docs.google.com/spreadsheets/d/1QqKyyYR6Q21VydFLVH3TRQUabQu_ym0Zz7PgGX0-kHA/edit?usp=sharing"",""แผน!AR75"")"),10000)</f>
        <v>10000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IFERROR(__xludf.DUMMYFUNCTION("IMPORTRANGE(""https://docs.google.com/spreadsheets/d/1QqKyyYR6Q21VydFLVH3TRQUabQu_ym0Zz7PgGX0-kHA/edit?usp=sharing"",""แผน!AT75"")"),50000)</f>
        <v>50000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IFERROR(__xludf.DUMMYFUNCTION("IMPORTRANGE(""https://docs.google.com/spreadsheets/d/1QqKyyYR6Q21VydFLVH3TRQUabQu_ym0Zz7PgGX0-kHA/edit?usp=sharing"",""แผน!AT75"")"),50000)</f>
        <v>50000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IFERROR(__xludf.DUMMYFUNCTION("IMPORTRANGE(""https://docs.google.com/spreadsheets/d/1QqKyyYR6Q21VydFLVH3TRQUabQu_ym0Zz7PgGX0-kHA/edit?usp=sharing"",""แผน!AS75"")"),10)</f>
        <v>10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IFERROR(__xludf.DUMMYFUNCTION("IMPORTRANGE(""https://docs.google.com/spreadsheets/d/1QqKyyYR6Q21VydFLVH3TRQUabQu_ym0Zz7PgGX0-kHA/edit?usp=sharing"",""แผน!AV75"")"),0)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IFERROR(__xludf.DUMMYFUNCTION("IMPORTRANGE(""https://docs.google.com/spreadsheets/d/1QqKyyYR6Q21VydFLVH3TRQUabQu_ym0Zz7PgGX0-kHA/edit?usp=sharing"",""แผน!AW75"")"),0)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IFERROR(__xludf.DUMMYFUNCTION("IMPORTRANGE(""https://docs.google.com/spreadsheets/d/1QqKyyYR6Q21VydFLVH3TRQUabQu_ym0Zz7PgGX0-kHA/edit?usp=sharing"",""แผน!AX75"")"),0)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IFERROR(__xludf.DUMMYFUNCTION("IMPORTRANGE(""https://docs.google.com/spreadsheets/d/1QqKyyYR6Q21VydFLVH3TRQUabQu_ym0Zz7PgGX0-kHA/edit?usp=sharing"",""แผน!AY75"")"),0)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IFERROR(__xludf.DUMMYFUNCTION("IMPORTRANGE(""https://docs.google.com/spreadsheets/d/1QqKyyYR6Q21VydFLVH3TRQUabQu_ym0Zz7PgGX0-kHA/edit?usp=sharing"",""แผน!BE75"")"),0)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IFERROR(__xludf.DUMMYFUNCTION("IMPORTRANGE(""https://docs.google.com/spreadsheets/d/1QqKyyYR6Q21VydFLVH3TRQUabQu_ym0Zz7PgGX0-kHA/edit?usp=sharing"",""แผน!AZ75"")"),0)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IFERROR(__xludf.DUMMYFUNCTION("IMPORTRANGE(""https://docs.google.com/spreadsheets/d/1QqKyyYR6Q21VydFLVH3TRQUabQu_ym0Zz7PgGX0-kHA/edit?usp=sharing"",""แผน!BA75"")"),0)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IFERROR(__xludf.DUMMYFUNCTION("IMPORTRANGE(""https://docs.google.com/spreadsheets/d/1QqKyyYR6Q21VydFLVH3TRQUabQu_ym0Zz7PgGX0-kHA/edit?usp=sharing"",""แผน!BB75"")"),0)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IFERROR(__xludf.DUMMYFUNCTION("IMPORTRANGE(""https://docs.google.com/spreadsheets/d/1QqKyyYR6Q21VydFLVH3TRQUabQu_ym0Zz7PgGX0-kHA/edit?usp=sharing"",""แผน!BC75"")"),0)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IFERROR(__xludf.DUMMYFUNCTION("IMPORTRANGE(""https://docs.google.com/spreadsheets/d/1QqKyyYR6Q21VydFLVH3TRQUabQu_ym0Zz7PgGX0-kHA/edit?usp=sharing"",""แผน!BF75"")"),0)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IFERROR(__xludf.DUMMYFUNCTION("IMPORTRANGE(""https://docs.google.com/spreadsheets/d/1MeEWN-I1oV_STSDYn1IFDPWt_1FKiwhDph83XaGc0o0/edit?usp=sharing"",""งบพรบ!DD75"")"),0)</f>
        <v>0</v>
      </c>
      <c r="N266" s="93">
        <f ca="1">IFERROR(__xludf.DUMMYFUNCTION("IMPORTRANGE(""https://docs.google.com/spreadsheets/d/1MeEWN-I1oV_STSDYn1IFDPWt_1FKiwhDph83XaGc0o0/edit?usp=sharing"",""งบพรบ!DF75"")"),0)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IFERROR(__xludf.DUMMYFUNCTION("IMPORTRANGE(""https://docs.google.com/spreadsheets/d/1QqKyyYR6Q21VydFLVH3TRQUabQu_ym0Zz7PgGX0-kHA/edit?usp=sharing"",""แผน!EA75"")"),22)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5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24">I287</f>
        <v>50</v>
      </c>
      <c r="J276" s="405">
        <f t="shared" si="124"/>
        <v>0</v>
      </c>
      <c r="K276" s="406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9410</v>
      </c>
      <c r="N277" s="155">
        <f t="shared" ca="1" si="125"/>
        <v>1240</v>
      </c>
      <c r="O277" s="155">
        <f t="shared" ref="O277:O285" ca="1" si="126">IF(L277&gt;0,N277*100/L277,0)</f>
        <v>5.4794520547945202</v>
      </c>
      <c r="P277" s="155">
        <f t="shared" ref="P277:P285" ca="1" si="127">IF(M277&gt;0,N277*100/M277,0)</f>
        <v>13.177470775770457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22630</v>
      </c>
      <c r="M279" s="93">
        <f t="shared" ca="1" si="128"/>
        <v>9410</v>
      </c>
      <c r="N279" s="93">
        <f t="shared" ca="1" si="128"/>
        <v>1240</v>
      </c>
      <c r="O279" s="93">
        <f t="shared" ca="1" si="126"/>
        <v>5.4794520547945202</v>
      </c>
      <c r="P279" s="93">
        <f t="shared" ca="1" si="127"/>
        <v>13.177470775770457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9410</v>
      </c>
      <c r="N280" s="497">
        <f t="shared" ca="1" si="129"/>
        <v>1240</v>
      </c>
      <c r="O280" s="497">
        <f t="shared" ca="1" si="126"/>
        <v>5.4794520547945202</v>
      </c>
      <c r="P280" s="497">
        <f t="shared" ca="1" si="127"/>
        <v>13.177470775770457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IFERROR(__xludf.DUMMYFUNCTION("IMPORTRANGE(""https://docs.google.com/spreadsheets/d/1MeEWN-I1oV_STSDYn1IFDPWt_1FKiwhDph83XaGc0o0/edit?usp=sharing"",""งบพรบ!DN75"")"),9410)</f>
        <v>9410</v>
      </c>
      <c r="N282" s="93">
        <f ca="1">IFERROR(__xludf.DUMMYFUNCTION("IMPORTRANGE(""https://docs.google.com/spreadsheets/d/1MeEWN-I1oV_STSDYn1IFDPWt_1FKiwhDph83XaGc0o0/edit?usp=sharing"",""งบพรบ!DP75"")"),1240)</f>
        <v>1240</v>
      </c>
      <c r="O282" s="93">
        <f t="shared" ca="1" si="126"/>
        <v>5.4794520547945202</v>
      </c>
      <c r="P282" s="93">
        <f t="shared" ca="1" si="127"/>
        <v>13.177470775770457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IFERROR(__xludf.DUMMYFUNCTION("IMPORTRANGE(""https://docs.google.com/spreadsheets/d/1QqKyyYR6Q21VydFLVH3TRQUabQu_ym0Zz7PgGX0-kHA/edit?usp=sharing"",""แผน!EC75"")"),50)</f>
        <v>50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IFERROR(__xludf.DUMMYFUNCTION("IMPORTRANGE(""https://docs.google.com/spreadsheets/d/1QqKyyYR6Q21VydFLVH3TRQUabQu_ym0Zz7PgGX0-kHA/edit?usp=sharing"",""แผน!EB75"")"),5)</f>
        <v>5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6" t="s">
        <v>136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IFERROR(__xludf.DUMMYFUNCTION("IMPORTRANGE(""https://docs.google.com/spreadsheets/d/1QqKyyYR6Q21VydFLVH3TRQUabQu_ym0Zz7PgGX0-kHA/edit?usp=sharing"",""แผน!EB75"")"),5)</f>
        <v>5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IFERROR(__xludf.DUMMYFUNCTION("IMPORTRANGE(""https://docs.google.com/spreadsheets/d/1QqKyyYR6Q21VydFLVH3TRQUabQu_ym0Zz7PgGX0-kHA/edit?usp=sharing"",""แผน!ED75"")"),0)</f>
        <v>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IFERROR(__xludf.DUMMYFUNCTION("IMPORTRANGE(""https://docs.google.com/spreadsheets/d/1QqKyyYR6Q21VydFLVH3TRQUabQu_ym0Zz7PgGX0-kHA/edit?usp=sharing"",""แผน!ED75"")"),0)</f>
        <v>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IFERROR(__xludf.DUMMYFUNCTION("IMPORTRANGE(""https://docs.google.com/spreadsheets/d/1QqKyyYR6Q21VydFLVH3TRQUabQu_ym0Zz7PgGX0-kHA/edit?usp=sharing"",""แผน!ED75"")"),0)</f>
        <v>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IFERROR(__xludf.DUMMYFUNCTION("IMPORTRANGE(""https://docs.google.com/spreadsheets/d/1QqKyyYR6Q21VydFLVH3TRQUabQu_ym0Zz7PgGX0-kHA/edit?usp=sharing"",""แผน!EE75"")"),0)</f>
        <v>0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3753000</v>
      </c>
      <c r="M315" s="155">
        <f t="shared" ca="1" si="143"/>
        <v>3739400</v>
      </c>
      <c r="N315" s="155">
        <f t="shared" ca="1" si="143"/>
        <v>90779.76</v>
      </c>
      <c r="O315" s="155">
        <f t="shared" ref="O315:O323" ca="1" si="144">IF(L315&gt;0,N315*100/L315,0)</f>
        <v>2.4188585131894484</v>
      </c>
      <c r="P315" s="155">
        <f t="shared" ref="P315:P323" ca="1" si="145">IF(M315&gt;0,N315*100/M315,0)</f>
        <v>2.4276557736535271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3753000</v>
      </c>
      <c r="M317" s="93">
        <f t="shared" ca="1" si="146"/>
        <v>3739400</v>
      </c>
      <c r="N317" s="93">
        <f t="shared" ca="1" si="146"/>
        <v>90779.76</v>
      </c>
      <c r="O317" s="93">
        <f t="shared" ca="1" si="144"/>
        <v>2.4188585131894484</v>
      </c>
      <c r="P317" s="93">
        <f t="shared" ca="1" si="145"/>
        <v>2.4276557736535271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139400</v>
      </c>
      <c r="N318" s="497">
        <f t="shared" ca="1" si="147"/>
        <v>90779.76</v>
      </c>
      <c r="O318" s="497">
        <f t="shared" ca="1" si="144"/>
        <v>59.333176470588235</v>
      </c>
      <c r="P318" s="497">
        <f t="shared" ca="1" si="145"/>
        <v>65.121779053084651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IFERROR(__xludf.DUMMYFUNCTION("IMPORTRANGE(""https://docs.google.com/spreadsheets/d/1MeEWN-I1oV_STSDYn1IFDPWt_1FKiwhDph83XaGc0o0/edit?usp=sharing"",""งบพรบ!EH75"")"),139400)</f>
        <v>139400</v>
      </c>
      <c r="N320" s="93">
        <f ca="1">IFERROR(__xludf.DUMMYFUNCTION("IMPORTRANGE(""https://docs.google.com/spreadsheets/d/1MeEWN-I1oV_STSDYn1IFDPWt_1FKiwhDph83XaGc0o0/edit?usp=sharing"",""งบพรบ!EJ75"")"),90779.76)</f>
        <v>90779.76</v>
      </c>
      <c r="O320" s="93">
        <f t="shared" ca="1" si="144"/>
        <v>59.333176470588235</v>
      </c>
      <c r="P320" s="93">
        <f t="shared" ca="1" si="145"/>
        <v>65.121779053084651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3600000</v>
      </c>
      <c r="M321" s="497">
        <f t="shared" ca="1" si="148"/>
        <v>3600000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IFERROR(__xludf.DUMMYFUNCTION("IMPORTRANGE(""https://docs.google.com/spreadsheets/d/1MeEWN-I1oV_STSDYn1IFDPWt_1FKiwhDph83XaGc0o0/edit?usp=sharing"",""งบพรบ!EI75"")"),3600000)</f>
        <v>3600000</v>
      </c>
      <c r="N323" s="93">
        <f ca="1">IFERROR(__xludf.DUMMYFUNCTION("IMPORTRANGE(""https://docs.google.com/spreadsheets/d/1MeEWN-I1oV_STSDYn1IFDPWt_1FKiwhDph83XaGc0o0/edit?usp=sharing"",""งบพรบ!EK75"")"),0)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IFERROR(__xludf.DUMMYFUNCTION("IMPORTRANGE(""https://docs.google.com/spreadsheets/d/1QqKyyYR6Q21VydFLVH3TRQUabQu_ym0Zz7PgGX0-kHA/edit?usp=sharing"",""แผน!EF75"")"),2)</f>
        <v>2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IFERROR(__xludf.DUMMYFUNCTION("IMPORTRANGE(""https://docs.google.com/spreadsheets/d/1QqKyyYR6Q21VydFLVH3TRQUabQu_ym0Zz7PgGX0-kHA/edit?usp=sharing"",""แผน!EG75"")"),2000)</f>
        <v>2000</v>
      </c>
      <c r="J327" s="444">
        <f ca="1">J338+J341+J342+J343</f>
        <v>684</v>
      </c>
      <c r="K327" s="445">
        <f ca="1">IF(I327&gt;0,J327*100/I327,0)</f>
        <v>34.200000000000003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168000</v>
      </c>
      <c r="M328" s="155">
        <f t="shared" ca="1" si="149"/>
        <v>84000</v>
      </c>
      <c r="N328" s="155">
        <f t="shared" ca="1" si="149"/>
        <v>25080</v>
      </c>
      <c r="O328" s="155">
        <f t="shared" ref="O328:O336" ca="1" si="150">IF(L328&gt;0,N328*100/L328,0)</f>
        <v>14.928571428571429</v>
      </c>
      <c r="P328" s="155">
        <f t="shared" ref="P328:P336" ca="1" si="151">IF(M328&gt;0,N328*100/M328,0)</f>
        <v>29.857142857142858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168000</v>
      </c>
      <c r="M330" s="93">
        <f t="shared" ca="1" si="152"/>
        <v>84000</v>
      </c>
      <c r="N330" s="93">
        <f t="shared" ca="1" si="152"/>
        <v>25080</v>
      </c>
      <c r="O330" s="93">
        <f t="shared" ca="1" si="150"/>
        <v>14.928571428571429</v>
      </c>
      <c r="P330" s="93">
        <f t="shared" ca="1" si="151"/>
        <v>29.857142857142858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168000</v>
      </c>
      <c r="M331" s="497">
        <f t="shared" ca="1" si="153"/>
        <v>84000</v>
      </c>
      <c r="N331" s="497">
        <f t="shared" ca="1" si="153"/>
        <v>25080</v>
      </c>
      <c r="O331" s="497">
        <f t="shared" ca="1" si="150"/>
        <v>14.928571428571429</v>
      </c>
      <c r="P331" s="497">
        <f t="shared" ca="1" si="151"/>
        <v>29.857142857142858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IFERROR(__xludf.DUMMYFUNCTION("IMPORTRANGE(""https://docs.google.com/spreadsheets/d/1MeEWN-I1oV_STSDYn1IFDPWt_1FKiwhDph83XaGc0o0/edit?usp=sharing"",""งบพรบ!ER75"")"),84000)</f>
        <v>84000</v>
      </c>
      <c r="N333" s="93">
        <f ca="1">IFERROR(__xludf.DUMMYFUNCTION("IMPORTRANGE(""https://docs.google.com/spreadsheets/d/1MeEWN-I1oV_STSDYn1IFDPWt_1FKiwhDph83XaGc0o0/edit?usp=sharing"",""งบพรบ!ET75"")"),25080)</f>
        <v>25080</v>
      </c>
      <c r="O333" s="93">
        <f t="shared" ca="1" si="150"/>
        <v>14.928571428571429</v>
      </c>
      <c r="P333" s="93">
        <f t="shared" ca="1" si="151"/>
        <v>29.857142857142858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IFERROR(__xludf.DUMMYFUNCTION("IMPORTRANGE(""https://docs.google.com/spreadsheets/d/1QqKyyYR6Q21VydFLVH3TRQUabQu_ym0Zz7PgGX0-kHA/edit?usp=sharing"",""แผน!EG75"")"),2000)</f>
        <v>2000</v>
      </c>
      <c r="J338" s="269">
        <f ca="1">IFERROR(__xludf.DUMMYFUNCTION("IMPORTRANGE(""https://docs.google.com/spreadsheets/d/1kVcqe37tkHyjCSG3S0O1AXqVkqjo8mSIZil3BcpIysc/edit?usp=sharing"",""ศูนย์!D75"")"),658)</f>
        <v>658</v>
      </c>
      <c r="K338" s="497">
        <f ca="1">IF(I338&gt;0,J338*100/I338,0)</f>
        <v>32.9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IFERROR(__xludf.DUMMYFUNCTION("IMPORTRANGE(""https://docs.google.com/spreadsheets/d/1QqKyyYR6Q21VydFLVH3TRQUabQu_ym0Zz7PgGX0-kHA/edit?usp=sharing"",""แผน!EH75"")"),5)</f>
        <v>5</v>
      </c>
      <c r="J340" s="269">
        <f ca="1">IFERROR(__xludf.DUMMYFUNCTION("IMPORTRANGE(""https://docs.google.com/spreadsheets/d/1kVcqe37tkHyjCSG3S0O1AXqVkqjo8mSIZil3BcpIysc/edit?usp=sharing"",""ศูนย์!E75"")"),1)</f>
        <v>1</v>
      </c>
      <c r="K340" s="497">
        <f ca="1">IF(I340&gt;0,J340*100/I340,0)</f>
        <v>20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IFERROR(__xludf.DUMMYFUNCTION("IMPORTRANGE(""https://docs.google.com/spreadsheets/d/1kVcqe37tkHyjCSG3S0O1AXqVkqjo8mSIZil3BcpIysc/edit?usp=sharing"",""ศูนย์!F75"")"),26)</f>
        <v>26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833700</v>
      </c>
      <c r="M345" s="155">
        <f t="shared" ca="1" si="155"/>
        <v>465750</v>
      </c>
      <c r="N345" s="155">
        <f t="shared" ca="1" si="155"/>
        <v>213220.77000000002</v>
      </c>
      <c r="O345" s="155">
        <f t="shared" ref="O345:O353" ca="1" si="156">IF(L345&gt;0,N345*100/L345,0)</f>
        <v>25.575239294710329</v>
      </c>
      <c r="P345" s="155">
        <f t="shared" ref="P345:P353" ca="1" si="157">IF(M345&gt;0,N345*100/M345,0)</f>
        <v>45.780090177133658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833700</v>
      </c>
      <c r="M347" s="93">
        <f t="shared" ca="1" si="158"/>
        <v>465750</v>
      </c>
      <c r="N347" s="93">
        <f t="shared" ca="1" si="158"/>
        <v>213220.77000000002</v>
      </c>
      <c r="O347" s="93">
        <f t="shared" ca="1" si="156"/>
        <v>25.575239294710329</v>
      </c>
      <c r="P347" s="93">
        <f t="shared" ca="1" si="157"/>
        <v>45.780090177133658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735900</v>
      </c>
      <c r="M348" s="497">
        <f t="shared" ca="1" si="159"/>
        <v>367950</v>
      </c>
      <c r="N348" s="497">
        <f t="shared" ca="1" si="159"/>
        <v>120210.77</v>
      </c>
      <c r="O348" s="497">
        <f t="shared" ca="1" si="156"/>
        <v>16.335204511482537</v>
      </c>
      <c r="P348" s="497">
        <f t="shared" ca="1" si="157"/>
        <v>32.670409022965075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IFERROR(__xludf.DUMMYFUNCTION("IMPORTRANGE(""https://docs.google.com/spreadsheets/d/1MeEWN-I1oV_STSDYn1IFDPWt_1FKiwhDph83XaGc0o0/edit?usp=sharing"",""งบพรบ!FB75"")"),367950)</f>
        <v>367950</v>
      </c>
      <c r="N350" s="93">
        <f ca="1">IFERROR(__xludf.DUMMYFUNCTION("IMPORTRANGE(""https://docs.google.com/spreadsheets/d/1MeEWN-I1oV_STSDYn1IFDPWt_1FKiwhDph83XaGc0o0/edit?usp=sharing"",""งบพรบ!FD75"")"),120210.77)</f>
        <v>120210.77</v>
      </c>
      <c r="O350" s="93">
        <f t="shared" ca="1" si="156"/>
        <v>16.335204511482537</v>
      </c>
      <c r="P350" s="93">
        <f t="shared" ca="1" si="157"/>
        <v>32.670409022965075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97800</v>
      </c>
      <c r="N351" s="497">
        <f t="shared" ca="1" si="160"/>
        <v>93010</v>
      </c>
      <c r="O351" s="497">
        <f t="shared" ca="1" si="156"/>
        <v>95.102249488752562</v>
      </c>
      <c r="P351" s="497">
        <f t="shared" ca="1" si="157"/>
        <v>95.102249488752562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IFERROR(__xludf.DUMMYFUNCTION("IMPORTRANGE(""https://docs.google.com/spreadsheets/d/1MeEWN-I1oV_STSDYn1IFDPWt_1FKiwhDph83XaGc0o0/edit?usp=sharing"",""งบพรบ!FC75"")"),97800)</f>
        <v>97800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95.102249488752562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IFERROR(__xludf.DUMMYFUNCTION("IMPORTRANGE(""https://docs.google.com/spreadsheets/d/1QqKyyYR6Q21VydFLVH3TRQUabQu_ym0Zz7PgGX0-kHA/edit?usp=sharing"",""แผน!EP75"")"),210)</f>
        <v>210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IFERROR(__xludf.DUMMYFUNCTION("IMPORTRANGE(""https://docs.google.com/spreadsheets/d/1XWAQStnk-4SwqDmLtmXYiTMKHgktTP8We1SCoS47DrQ/edit?usp=sharing"",""จัดที่ดิน!W75"")"),74)</f>
        <v>74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IFERROR(__xludf.DUMMYFUNCTION("IMPORTRANGE(""https://docs.google.com/spreadsheets/d/1QqKyyYR6Q21VydFLVH3TRQUabQu_ym0Zz7PgGX0-kHA/edit?usp=sharing"",""แผน!EO75"")"),2100)</f>
        <v>2100</v>
      </c>
      <c r="J359" s="269">
        <f ca="1">IFERROR(__xludf.DUMMYFUNCTION("IMPORTRANGE(""https://docs.google.com/spreadsheets/d/1XWAQStnk-4SwqDmLtmXYiTMKHgktTP8We1SCoS47DrQ/edit?usp=sharing"",""จัดที่ดิน!X75"")"),891.18)</f>
        <v>891.18</v>
      </c>
      <c r="K359" s="497">
        <f t="shared" ca="1" si="161"/>
        <v>42.437142857142859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IFERROR(__xludf.DUMMYFUNCTION("IMPORTRANGE(""https://docs.google.com/spreadsheets/d/1QqKyyYR6Q21VydFLVH3TRQUabQu_ym0Zz7PgGX0-kHA/edit?usp=sharing"",""แผน!EP75"")"),210)</f>
        <v>210</v>
      </c>
      <c r="J360" s="269">
        <f ca="1">IFERROR(__xludf.DUMMYFUNCTION("IMPORTRANGE(""https://docs.google.com/spreadsheets/d/1XWAQStnk-4SwqDmLtmXYiTMKHgktTP8We1SCoS47DrQ/edit?usp=sharing"",""จัดที่ดิน!Y75"")"),39)</f>
        <v>39</v>
      </c>
      <c r="K360" s="497">
        <f t="shared" ca="1" si="161"/>
        <v>18.571428571428573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IFERROR(__xludf.DUMMYFUNCTION("IMPORTRANGE(""https://docs.google.com/spreadsheets/d/1XWAQStnk-4SwqDmLtmXYiTMKHgktTP8We1SCoS47DrQ/edit?usp=sharing"",""จัดที่ดิน!Z75"")"),481.06)</f>
        <v>481.06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IFERROR(__xludf.DUMMYFUNCTION("IMPORTRANGE(""https://docs.google.com/spreadsheets/d/1QqKyyYR6Q21VydFLVH3TRQUabQu_ym0Zz7PgGX0-kHA/edit?usp=sharing"",""แผน!EP75"")"),210)</f>
        <v>210</v>
      </c>
      <c r="J362" s="269">
        <f ca="1">IFERROR(__xludf.DUMMYFUNCTION("IMPORTRANGE(""https://docs.google.com/spreadsheets/d/1XWAQStnk-4SwqDmLtmXYiTMKHgktTP8We1SCoS47DrQ/edit?usp=sharing"",""จัดที่ดิน!AA75"")"),0)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IFERROR(__xludf.DUMMYFUNCTION("IMPORTRANGE(""https://docs.google.com/spreadsheets/d/1XWAQStnk-4SwqDmLtmXYiTMKHgktTP8We1SCoS47DrQ/edit?usp=sharing"",""จัดที่ดิน!AB75"")"),0)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270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IFERROR(__xludf.DUMMYFUNCTION("IMPORTRANGE(""https://docs.google.com/spreadsheets/d/1QqKyyYR6Q21VydFLVH3TRQUabQu_ym0Zz7PgGX0-kHA/edit?usp=sharing"",""แผน!EJ75"")"),130)</f>
        <v>130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IFERROR(__xludf.DUMMYFUNCTION("IMPORTRANGE(""https://docs.google.com/spreadsheets/d/1XWAQStnk-4SwqDmLtmXYiTMKHgktTP8We1SCoS47DrQ/edit?usp=sharing"",""จัดที่ดิน!E75"")"),35)</f>
        <v>35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IFERROR(__xludf.DUMMYFUNCTION("IMPORTRANGE(""https://docs.google.com/spreadsheets/d/1QqKyyYR6Q21VydFLVH3TRQUabQu_ym0Zz7PgGX0-kHA/edit?usp=sharing"",""แผน!EI75"")"),1300)</f>
        <v>1300</v>
      </c>
      <c r="J369" s="269">
        <f ca="1">IFERROR(__xludf.DUMMYFUNCTION("IMPORTRANGE(""https://docs.google.com/spreadsheets/d/1XWAQStnk-4SwqDmLtmXYiTMKHgktTP8We1SCoS47DrQ/edit?usp=sharing"",""จัดที่ดิน!F75"")"),410.12)</f>
        <v>410.12</v>
      </c>
      <c r="K369" s="497">
        <f t="shared" ca="1" si="163"/>
        <v>31.547692307692309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IFERROR(__xludf.DUMMYFUNCTION("IMPORTRANGE(""https://docs.google.com/spreadsheets/d/1QqKyyYR6Q21VydFLVH3TRQUabQu_ym0Zz7PgGX0-kHA/edit?usp=sharing"",""แผน!EJ75"")"),130)</f>
        <v>130</v>
      </c>
      <c r="J370" s="269">
        <f ca="1">IFERROR(__xludf.DUMMYFUNCTION("IMPORTRANGE(""https://docs.google.com/spreadsheets/d/1XWAQStnk-4SwqDmLtmXYiTMKHgktTP8We1SCoS47DrQ/edit?usp=sharing"",""จัดที่ดิน!G75"")"),0)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IFERROR(__xludf.DUMMYFUNCTION("IMPORTRANGE(""https://docs.google.com/spreadsheets/d/1XWAQStnk-4SwqDmLtmXYiTMKHgktTP8We1SCoS47DrQ/edit?usp=sharing"",""จัดที่ดิน!H75"")"),0)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IFERROR(__xludf.DUMMYFUNCTION("IMPORTRANGE(""https://docs.google.com/spreadsheets/d/1QqKyyYR6Q21VydFLVH3TRQUabQu_ym0Zz7PgGX0-kHA/edit?usp=sharing"",""แผน!EJ75"")"),130)</f>
        <v>130</v>
      </c>
      <c r="J372" s="269">
        <f ca="1">IFERROR(__xludf.DUMMYFUNCTION("IMPORTRANGE(""https://docs.google.com/spreadsheets/d/1XWAQStnk-4SwqDmLtmXYiTMKHgktTP8We1SCoS47DrQ/edit?usp=sharing"",""จัดที่ดิน!I75"")"),0)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IFERROR(__xludf.DUMMYFUNCTION("IMPORTRANGE(""https://docs.google.com/spreadsheets/d/1QqKyyYR6Q21VydFLVH3TRQUabQu_ym0Zz7PgGX0-kHA/edit?usp=sharing"",""แผน!EU75"")"),140)</f>
        <v>140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IFERROR(__xludf.DUMMYFUNCTION("IMPORTRANGE(""https://docs.google.com/spreadsheets/d/1XWAQStnk-4SwqDmLtmXYiTMKHgktTP8We1SCoS47DrQ/edit?usp=sharing"",""จัดที่ดิน!AH75"")"),39)</f>
        <v>39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IFERROR(__xludf.DUMMYFUNCTION("IMPORTRANGE(""https://docs.google.com/spreadsheets/d/1QqKyyYR6Q21VydFLVH3TRQUabQu_ym0Zz7PgGX0-kHA/edit?usp=sharing"",""แผน!ET75"")"),800)</f>
        <v>800</v>
      </c>
      <c r="J378" s="269">
        <f ca="1">IFERROR(__xludf.DUMMYFUNCTION("IMPORTRANGE(""https://docs.google.com/spreadsheets/d/1XWAQStnk-4SwqDmLtmXYiTMKHgktTP8We1SCoS47DrQ/edit?usp=sharing"",""จัดที่ดิน!AI75"")"),481.06)</f>
        <v>481.06</v>
      </c>
      <c r="K378" s="497">
        <f t="shared" ca="1" si="164"/>
        <v>60.1325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IFERROR(__xludf.DUMMYFUNCTION("IMPORTRANGE(""https://docs.google.com/spreadsheets/d/1QqKyyYR6Q21VydFLVH3TRQUabQu_ym0Zz7PgGX0-kHA/edit?usp=sharing"",""แผน!EU75"")"),140)</f>
        <v>140</v>
      </c>
      <c r="J379" s="269">
        <f ca="1">IFERROR(__xludf.DUMMYFUNCTION("IMPORTRANGE(""https://docs.google.com/spreadsheets/d/1XWAQStnk-4SwqDmLtmXYiTMKHgktTP8We1SCoS47DrQ/edit?usp=sharing"",""จัดที่ดิน!AJ75"")"),39)</f>
        <v>39</v>
      </c>
      <c r="K379" s="497">
        <f t="shared" ca="1" si="164"/>
        <v>27.857142857142858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IFERROR(__xludf.DUMMYFUNCTION("IMPORTRANGE(""https://docs.google.com/spreadsheets/d/1XWAQStnk-4SwqDmLtmXYiTMKHgktTP8We1SCoS47DrQ/edit?usp=sharing"",""จัดที่ดิน!AK75"")"),481.06)</f>
        <v>481.06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IFERROR(__xludf.DUMMYFUNCTION("IMPORTRANGE(""https://docs.google.com/spreadsheets/d/1QqKyyYR6Q21VydFLVH3TRQUabQu_ym0Zz7PgGX0-kHA/edit?usp=sharing"",""แผน!EU75"")"),140)</f>
        <v>140</v>
      </c>
      <c r="J381" s="269">
        <f ca="1">IFERROR(__xludf.DUMMYFUNCTION("IMPORTRANGE(""https://docs.google.com/spreadsheets/d/1XWAQStnk-4SwqDmLtmXYiTMKHgktTP8We1SCoS47DrQ/edit?usp=sharing"",""จัดที่ดิน!AL75"")"),0)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IFERROR(__xludf.DUMMYFUNCTION("IMPORTRANGE(""https://docs.google.com/spreadsheets/d/1XWAQStnk-4SwqDmLtmXYiTMKHgktTP8We1SCoS47DrQ/edit?usp=sharing"",""จัดที่ดิน!AM75"")"),0)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IFERROR(__xludf.DUMMYFUNCTION("IMPORTRANGE(""https://docs.google.com/spreadsheets/d/1QqKyyYR6Q21VydFLVH3TRQUabQu_ym0Zz7PgGX0-kHA/edit?usp=sharing"",""แผน!EW75"")"),20)</f>
        <v>20</v>
      </c>
      <c r="J385" s="500">
        <f ca="1">IFERROR(__xludf.DUMMYFUNCTION("IMPORTRANGE(""https://docs.google.com/spreadsheets/d/1XWAQStnk-4SwqDmLtmXYiTMKHgktTP8We1SCoS47DrQ/edit?usp=sharing"",""จัดที่ดิน!AP75"")"),0)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26000000</v>
      </c>
      <c r="M395" s="497">
        <f t="shared" ca="1" si="171"/>
        <v>26000000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15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4962621</v>
      </c>
      <c r="O402" s="155">
        <f t="shared" ref="O402:O410" ca="1" si="175">IF(L402&gt;0,N402*100/L402,0)</f>
        <v>14.595944117647059</v>
      </c>
      <c r="P402" s="155">
        <f t="shared" ref="P402:P410" ca="1" si="176">IF(M402&gt;0,N402*100/M402,0)</f>
        <v>14.595944117647059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4962621</v>
      </c>
      <c r="O404" s="93">
        <f t="shared" ca="1" si="175"/>
        <v>14.595944117647059</v>
      </c>
      <c r="P404" s="93">
        <f t="shared" ca="1" si="176"/>
        <v>14.595944117647059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34000000</v>
      </c>
      <c r="M408" s="497">
        <f t="shared" ca="1" si="179"/>
        <v>34000000</v>
      </c>
      <c r="N408" s="497">
        <f t="shared" ca="1" si="179"/>
        <v>4962621</v>
      </c>
      <c r="O408" s="497">
        <f t="shared" ca="1" si="175"/>
        <v>14.595944117647059</v>
      </c>
      <c r="P408" s="497">
        <f t="shared" ca="1" si="176"/>
        <v>14.595944117647059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IFERROR(__xludf.DUMMYFUNCTION("IMPORTRANGE(""https://docs.google.com/spreadsheets/d/1MeEWN-I1oV_STSDYn1IFDPWt_1FKiwhDph83XaGc0o0/edit?usp=sharing"",""งบพรบ!FY75"")"),4962621)</f>
        <v>4962621</v>
      </c>
      <c r="O410" s="93">
        <f t="shared" ca="1" si="175"/>
        <v>14.595944117647059</v>
      </c>
      <c r="P410" s="93">
        <f t="shared" ca="1" si="176"/>
        <v>14.595944117647059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15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1558477</v>
      </c>
      <c r="M414" s="548">
        <f t="shared" si="181"/>
        <v>0</v>
      </c>
      <c r="N414" s="548">
        <f t="shared" si="181"/>
        <v>45456</v>
      </c>
      <c r="O414" s="548">
        <f ca="1">IF(L414&gt;0,N414*100/L414,0)</f>
        <v>2.9166936695247987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9358</v>
      </c>
      <c r="O419" s="155">
        <f t="shared" ref="O419:O424" ca="1" si="185">IF(L419&gt;0,N419*100/L419,0)</f>
        <v>14.059495192307692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9358</v>
      </c>
      <c r="O421" s="93">
        <f t="shared" ca="1" si="185"/>
        <v>14.059495192307692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si="188"/>
        <v>0</v>
      </c>
      <c r="N422" s="497">
        <f t="shared" si="188"/>
        <v>9358</v>
      </c>
      <c r="O422" s="497">
        <f t="shared" ca="1" si="185"/>
        <v>14.059495192307692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v>0</v>
      </c>
      <c r="N424" s="93">
        <f>N425+N426+N427+N428</f>
        <v>9358</v>
      </c>
      <c r="O424" s="93">
        <f t="shared" ca="1" si="185"/>
        <v>14.059495192307692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5570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3788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IFERROR(__xludf.DUMMYFUNCTION("IMPORTRANGE(""https://docs.google.com/spreadsheets/d/1QqKyyYR6Q21VydFLVH3TRQUabQu_ym0Zz7PgGX0-kHA/edit?usp=sharing"",""แผน!FC75"")"),15)</f>
        <v>15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IFERROR(__xludf.DUMMYFUNCTION("IMPORTRANGE(""https://docs.google.com/spreadsheets/d/1QqKyyYR6Q21VydFLVH3TRQUabQu_ym0Zz7PgGX0-kHA/edit?usp=sharing"",""แผน!FD75"")"),0)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IFERROR(__xludf.DUMMYFUNCTION("IMPORTRANGE(""https://docs.google.com/spreadsheets/d/1QqKyyYR6Q21VydFLVH3TRQUabQu_ym0Zz7PgGX0-kHA/edit?usp=sharing"",""แผน!FE75"")"),0)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IFERROR(__xludf.DUMMYFUNCTION("IMPORTRANGE(""https://docs.google.com/spreadsheets/d/1QqKyyYR6Q21VydFLVH3TRQUabQu_ym0Zz7PgGX0-kHA/edit?usp=sharing"",""แผน!FF75"")"),15)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IFERROR(__xludf.DUMMYFUNCTION("IMPORTRANGE(""https://docs.google.com/spreadsheets/d/1QqKyyYR6Q21VydFLVH3TRQUabQu_ym0Zz7PgGX0-kHA/edit?usp=sharing"",""แผน!FG75"")"),1)</f>
        <v>1</v>
      </c>
      <c r="J440" s="214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IFERROR(__xludf.DUMMYFUNCTION("IMPORTRANGE(""https://docs.google.com/spreadsheets/d/1QqKyyYR6Q21VydFLVH3TRQUabQu_ym0Zz7PgGX0-kHA/edit?usp=sharing"",""แผน!FH75"")"),0)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IFERROR(__xludf.DUMMYFUNCTION("IMPORTRANGE(""https://docs.google.com/spreadsheets/d/1QqKyyYR6Q21VydFLVH3TRQUabQu_ym0Zz7PgGX0-kHA/edit?usp=sharing"",""แผน!FN75"")"),0)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IFERROR(__xludf.DUMMYFUNCTION("IMPORTRANGE(""https://docs.google.com/spreadsheets/d/1QqKyyYR6Q21VydFLVH3TRQUabQu_ym0Zz7PgGX0-kHA/edit?usp=sharing"",""แผน!FO75"")"),0)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IFERROR(__xludf.DUMMYFUNCTION("IMPORTRANGE(""https://docs.google.com/spreadsheets/d/1QqKyyYR6Q21VydFLVH3TRQUabQu_ym0Zz7PgGX0-kHA/edit?usp=sharing"",""แผน!FO75"")"),0)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IFERROR(__xludf.DUMMYFUNCTION("IMPORTRANGE(""https://docs.google.com/spreadsheets/d/1QqKyyYR6Q21VydFLVH3TRQUabQu_ym0Zz7PgGX0-kHA/edit?usp=sharing"",""แผน!FN75"")"),0)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IFERROR(__xludf.DUMMYFUNCTION("IMPORTRANGE(""https://docs.google.com/spreadsheets/d/1QqKyyYR6Q21VydFLVH3TRQUabQu_ym0Zz7PgGX0-kHA/edit?usp=sharing"",""แผน!FX75"")"),31)</f>
        <v>31</v>
      </c>
      <c r="J465" s="584">
        <f>J485+J489+J492</f>
        <v>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IFERROR(__xludf.DUMMYFUNCTION("IMPORTRANGE(""https://docs.google.com/spreadsheets/d/1QqKyyYR6Q21VydFLVH3TRQUabQu_ym0Zz7PgGX0-kHA/edit?usp=sharing"",""แผน!FW75"")"),300)</f>
        <v>300</v>
      </c>
      <c r="J466" s="564">
        <f>J483+J487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250523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250523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250523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IFERROR(__xludf.DUMMYFUNCTION("IMPORTRANGE(""https://docs.google.com/spreadsheets/d/1QqKyyYR6Q21VydFLVH3TRQUabQu_ym0Zz7PgGX0-kHA/edit?usp=sharing"",""แผน!FS75"")"),250523)</f>
        <v>250523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IFERROR(__xludf.DUMMYFUNCTION("IMPORTRANGE(""https://docs.google.com/spreadsheets/d/1QqKyyYR6Q21VydFLVH3TRQUabQu_ym0Zz7PgGX0-kHA/edit?usp=sharing"",""แผน!FY75"")"),270)</f>
        <v>270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IFERROR(__xludf.DUMMYFUNCTION("IMPORTRANGE(""https://docs.google.com/spreadsheets/d/1QqKyyYR6Q21VydFLVH3TRQUabQu_ym0Zz7PgGX0-kHA/edit?usp=sharing"",""แผน!FZ75"")"),27)</f>
        <v>27</v>
      </c>
      <c r="J485" s="214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IFERROR(__xludf.DUMMYFUNCTION("IMPORTRANGE(""https://docs.google.com/spreadsheets/d/1QqKyyYR6Q21VydFLVH3TRQUabQu_ym0Zz7PgGX0-kHA/edit?usp=sharing"",""แผน!GA75"")"),30)</f>
        <v>30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IFERROR(__xludf.DUMMYFUNCTION("IMPORTRANGE(""https://docs.google.com/spreadsheets/d/1QqKyyYR6Q21VydFLVH3TRQUabQu_ym0Zz7PgGX0-kHA/edit?usp=sharing"",""แผน!GB75"")"),3)</f>
        <v>3</v>
      </c>
      <c r="J489" s="214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IFERROR(__xludf.DUMMYFUNCTION("IMPORTRANGE(""https://docs.google.com/spreadsheets/d/1QqKyyYR6Q21VydFLVH3TRQUabQu_ym0Zz7PgGX0-kHA/edit?usp=sharing"",""แผน!GC75"")"),1)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IFERROR(__xludf.DUMMYFUNCTION("IMPORTRANGE(""https://docs.google.com/spreadsheets/d/1QqKyyYR6Q21VydFLVH3TRQUabQu_ym0Zz7PgGX0-kHA/edit?usp=sharing"",""แผน!FY75"")"),270)</f>
        <v>270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IFERROR(__xludf.DUMMYFUNCTION("IMPORTRANGE(""https://docs.google.com/spreadsheets/d/1QqKyyYR6Q21VydFLVH3TRQUabQu_ym0Zz7PgGX0-kHA/edit?usp=sharing"",""แผน!GA75"")"),30)</f>
        <v>30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80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667960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667960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667960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IFERROR(__xludf.DUMMYFUNCTION("IMPORTRANGE(""https://docs.google.com/spreadsheets/d/1QqKyyYR6Q21VydFLVH3TRQUabQu_ym0Zz7PgGX0-kHA/edit?usp=sharing"",""แผน!GU75"")"),80)</f>
        <v>80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IFERROR(__xludf.DUMMYFUNCTION("IMPORTRANGE(""https://docs.google.com/spreadsheets/d/1QqKyyYR6Q21VydFLVH3TRQUabQu_ym0Zz7PgGX0-kHA/edit?usp=sharing"",""แผน!GV75"")"),80)</f>
        <v>80</v>
      </c>
      <c r="J538" s="214">
        <v>58</v>
      </c>
      <c r="K538" s="497">
        <f t="shared" ca="1" si="234"/>
        <v>72.5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IFERROR(__xludf.DUMMYFUNCTION("IMPORTRANGE(""https://docs.google.com/spreadsheets/d/1QqKyyYR6Q21VydFLVH3TRQUabQu_ym0Zz7PgGX0-kHA/edit?usp=sharing"",""แผน!GW75"")"),80)</f>
        <v>80</v>
      </c>
      <c r="J539" s="214">
        <v>22</v>
      </c>
      <c r="K539" s="497">
        <f t="shared" ca="1" si="234"/>
        <v>27.5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IFERROR(__xludf.DUMMYFUNCTION("IMPORTRANGE(""https://docs.google.com/spreadsheets/d/1QqKyyYR6Q21VydFLVH3TRQUabQu_ym0Zz7PgGX0-kHA/edit?usp=sharing"",""แผน!GX75"")"),80)</f>
        <v>80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IFERROR(__xludf.DUMMYFUNCTION("IMPORTRANGE(""https://docs.google.com/spreadsheets/d/1QqKyyYR6Q21VydFLVH3TRQUabQu_ym0Zz7PgGX0-kHA/edit?usp=sharing"",""แผน!GY75"")"),0)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IFERROR(__xludf.DUMMYFUNCTION("IMPORTRANGE(""https://docs.google.com/spreadsheets/d/1QqKyyYR6Q21VydFLVH3TRQUabQu_ym0Zz7PgGX0-kHA/edit?usp=sharing"",""แผน!GZ75"")"),80)</f>
        <v>80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60297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320534</v>
      </c>
      <c r="M544" s="155">
        <f t="shared" si="236"/>
        <v>0</v>
      </c>
      <c r="N544" s="155">
        <f t="shared" si="236"/>
        <v>36098</v>
      </c>
      <c r="O544" s="155">
        <f t="shared" ref="O544:O549" ca="1" si="237">IF(L544&gt;0,N544*100/L544,0)</f>
        <v>11.261831818153457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320534</v>
      </c>
      <c r="M546" s="93">
        <f t="shared" si="240"/>
        <v>0</v>
      </c>
      <c r="N546" s="93">
        <f t="shared" si="240"/>
        <v>36098</v>
      </c>
      <c r="O546" s="93">
        <f t="shared" ca="1" si="237"/>
        <v>11.261831818153457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320534</v>
      </c>
      <c r="M547" s="497">
        <f t="shared" si="241"/>
        <v>0</v>
      </c>
      <c r="N547" s="497">
        <f t="shared" si="241"/>
        <v>36098</v>
      </c>
      <c r="O547" s="497">
        <f t="shared" ca="1" si="237"/>
        <v>11.261831818153457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IFERROR(__xludf.DUMMYFUNCTION("IMPORTRANGE(""https://docs.google.com/spreadsheets/d/1QqKyyYR6Q21VydFLVH3TRQUabQu_ym0Zz7PgGX0-kHA/edit?usp=sharing"",""แผน!HB75"")"),320534)</f>
        <v>320534</v>
      </c>
      <c r="M549" s="93">
        <v>0</v>
      </c>
      <c r="N549" s="93">
        <f>N550+N551+N552+N553+N554</f>
        <v>36098</v>
      </c>
      <c r="O549" s="93">
        <f t="shared" ca="1" si="237"/>
        <v>11.261831818153457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13000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23098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60297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198</v>
      </c>
      <c r="K560" s="411">
        <f t="shared" ca="1" si="246"/>
        <v>0.32837454599731331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15</v>
      </c>
      <c r="K561" s="411">
        <f t="shared" ca="1" si="246"/>
        <v>0.29562475364603863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198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15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IFERROR(__xludf.DUMMYFUNCTION("IMPORTRANGE(""https://docs.google.com/spreadsheets/d/1QqKyyYR6Q21VydFLVH3TRQUabQu_ym0Zz7PgGX0-kHA/edit?usp=sharing"",""แผน!HJ75"")"),0)</f>
        <v>0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IFERROR(__xludf.DUMMYFUNCTION("IMPORTRANGE(""https://docs.google.com/spreadsheets/d/1QqKyyYR6Q21VydFLVH3TRQUabQu_ym0Zz7PgGX0-kHA/edit?usp=sharing"",""แผน!HI75"")"),0)</f>
        <v>0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IFERROR(__xludf.DUMMYFUNCTION("IMPORTRANGE(""https://docs.google.com/spreadsheets/d/1QqKyyYR6Q21VydFLVH3TRQUabQu_ym0Zz7PgGX0-kHA/edit?usp=sharing"",""แผน!HL75"")"),0)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IFERROR(__xludf.DUMMYFUNCTION("IMPORTRANGE(""https://docs.google.com/spreadsheets/d/1QqKyyYR6Q21VydFLVH3TRQUabQu_ym0Zz7PgGX0-kHA/edit?usp=sharing"",""แผน!HK75"")"),0)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50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252900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252900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252900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IFERROR(__xludf.DUMMYFUNCTION("IMPORTRANGE(""https://docs.google.com/spreadsheets/d/1QqKyyYR6Q21VydFLVH3TRQUabQu_ym0Zz7PgGX0-kHA/edit?usp=sharing"",""แผน!HR75"")"),2)</f>
        <v>2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IFERROR(__xludf.DUMMYFUNCTION("IMPORTRANGE(""https://docs.google.com/spreadsheets/d/1QqKyyYR6Q21VydFLVH3TRQUabQu_ym0Zz7PgGX0-kHA/edit?usp=sharing"",""แผน!HR75"")"),2)</f>
        <v>2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IFERROR(__xludf.DUMMYFUNCTION("IMPORTRANGE(""https://docs.google.com/spreadsheets/d/1QqKyyYR6Q21VydFLVH3TRQUabQu_ym0Zz7PgGX0-kHA/edit?usp=sharing"",""แผน!HS75"")"),50)</f>
        <v>50</v>
      </c>
      <c r="J647" s="269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IFERROR(__xludf.DUMMYFUNCTION("IMPORTRANGE(""https://docs.google.com/spreadsheets/d/1QqKyyYR6Q21VydFLVH3TRQUabQu_ym0Zz7PgGX0-kHA/edit?usp=sharing"",""แผน!HS75"")"),50)</f>
        <v>50</v>
      </c>
      <c r="J649" s="269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IFERROR(__xludf.DUMMYFUNCTION("IMPORTRANGE(""https://docs.google.com/spreadsheets/d/1QqKyyYR6Q21VydFLVH3TRQUabQu_ym0Zz7PgGX0-kHA/edit?usp=sharing"",""แผน!HS75"")"),50)</f>
        <v>50</v>
      </c>
      <c r="J651" s="269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IFERROR(__xludf.DUMMYFUNCTION("IMPORTRANGE(""https://docs.google.com/spreadsheets/d/1XWAQStnk-4SwqDmLtmXYiTMKHgktTP8We1SCoS47DrQ/edit?usp=sharing"",""จัดที่ดิน!AZ75"")"),0)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IFERROR(__xludf.DUMMYFUNCTION("IMPORTRANGE(""https://docs.google.com/spreadsheets/d/1QqKyyYR6Q21VydFLVH3TRQUabQu_ym0Zz7PgGX0-kHA/edit?usp=sharing"",""แผน!IA75"")"),0)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IFERROR(__xludf.DUMMYFUNCTION("IMPORTRANGE(""https://docs.google.com/spreadsheets/d/1QqKyyYR6Q21VydFLVH3TRQUabQu_ym0Zz7PgGX0-kHA/edit?usp=sharing"",""แผน!HZ75"")"),0)</f>
        <v>0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IFERROR(__xludf.DUMMYFUNCTION("IMPORTRANGE(""https://docs.google.com/spreadsheets/d/1QqKyyYR6Q21VydFLVH3TRQUabQu_ym0Zz7PgGX0-kHA/edit?usp=sharing"",""แผน!HZ75"")"),0)</f>
        <v>0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IFERROR(__xludf.DUMMYFUNCTION("IMPORTRANGE(""https://docs.google.com/spreadsheets/d/1QqKyyYR6Q21VydFLVH3TRQUabQu_ym0Zz7PgGX0-kHA/edit?usp=sharing"",""แผน!IB75"")"),0)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IFERROR(__xludf.DUMMYFUNCTION("IMPORTRANGE(""https://docs.google.com/spreadsheets/d/1QqKyyYR6Q21VydFLVH3TRQUabQu_ym0Zz7PgGX0-kHA/edit?usp=sharing"",""แผน!IC75"")"),0)</f>
        <v>0</v>
      </c>
      <c r="J699" s="269">
        <f ca="1">IFERROR(__xludf.DUMMYFUNCTION("IMPORTRANGE(""https://docs.google.com/spreadsheets/d/1XWAQStnk-4SwqDmLtmXYiTMKHgktTP8We1SCoS47DrQ/edit?usp=sharing"",""จัดที่ดิน!BB75"")"),0)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IFERROR(__xludf.DUMMYFUNCTION("IMPORTRANGE(""https://docs.google.com/spreadsheets/d/1QqKyyYR6Q21VydFLVH3TRQUabQu_ym0Zz7PgGX0-kHA/edit?usp=sharing"",""แผน!ID75"")"),0)</f>
        <v>0</v>
      </c>
      <c r="J700" s="269">
        <f ca="1">IFERROR(__xludf.DUMMYFUNCTION("IMPORTRANGE(""https://docs.google.com/spreadsheets/d/1XWAQStnk-4SwqDmLtmXYiTMKHgktTP8We1SCoS47DrQ/edit?usp=sharing"",""จัดที่ดิน!BD75"")"),0)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IFERROR(__xludf.DUMMYFUNCTION("IMPORTRANGE(""https://docs.google.com/spreadsheets/d/1QqKyyYR6Q21VydFLVH3TRQUabQu_ym0Zz7PgGX0-kHA/edit?usp=sharing"",""แผน!IE75"")"),0)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IFERROR(__xludf.DUMMYFUNCTION("IMPORTRANGE(""https://docs.google.com/spreadsheets/d/1QqKyyYR6Q21VydFLVH3TRQUabQu_ym0Zz7PgGX0-kHA/edit?usp=sharing"",""แผน!IF75"")"),0)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IFERROR(__xludf.DUMMYFUNCTION("IMPORTRANGE(""https://docs.google.com/spreadsheets/d/1QqKyyYR6Q21VydFLVH3TRQUabQu_ym0Zz7PgGX0-kHA/edit?usp=sharing"",""แผน!IG75"")"),0)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IFERROR(__xludf.DUMMYFUNCTION("IMPORTRANGE(""https://docs.google.com/spreadsheets/d/1QqKyyYR6Q21VydFLVH3TRQUabQu_ym0Zz7PgGX0-kHA/edit?usp=sharing"",""แผน!IH75"")"),0)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IFERROR(__xludf.DUMMYFUNCTION("IMPORTRANGE(""https://docs.google.com/spreadsheets/d/1XWAQStnk-4SwqDmLtmXYiTMKHgktTP8We1SCoS47DrQ/edit?usp=sharing"",""จัดที่ดิน!BF75"")"),0)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IFERROR(__xludf.DUMMYFUNCTION("IMPORTRANGE(""https://docs.google.com/spreadsheets/d/1XWAQStnk-4SwqDmLtmXYiTMKHgktTP8We1SCoS47DrQ/edit?usp=sharing"",""จัดที่ดิน!BG75"")"),0)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IFERROR(__xludf.DUMMYFUNCTION("IMPORTRANGE(""https://docs.google.com/spreadsheets/d/1QqKyyYR6Q21VydFLVH3TRQUabQu_ym0Zz7PgGX0-kHA/edit?usp=sharing"",""แผน!II75"")"),0)</f>
        <v>0</v>
      </c>
      <c r="J720" s="269">
        <f ca="1">IFERROR(__xludf.DUMMYFUNCTION("IMPORTRANGE(""https://docs.google.com/spreadsheets/d/1XWAQStnk-4SwqDmLtmXYiTMKHgktTP8We1SCoS47DrQ/edit?usp=sharing"",""จัดที่ดิน!BH75"")"),0)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IFERROR(__xludf.DUMMYFUNCTION("IMPORTRANGE(""https://docs.google.com/spreadsheets/d/1QqKyyYR6Q21VydFLVH3TRQUabQu_ym0Zz7PgGX0-kHA/edit?usp=sharing"",""แผน!IJ75"")"),0)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IFERROR(__xludf.DUMMYFUNCTION("IMPORTRANGE(""https://docs.google.com/spreadsheets/d/1QqKyyYR6Q21VydFLVH3TRQUabQu_ym0Zz7PgGX0-kHA/edit?usp=sharing"",""แผน!IK75"")"),0)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IFERROR(__xludf.DUMMYFUNCTION("IMPORTRANGE(""https://docs.google.com/spreadsheets/d/1QqKyyYR6Q21VydFLVH3TRQUabQu_ym0Zz7PgGX0-kHA/edit?usp=sharing"",""แผน!IL75"")"),0)</f>
        <v>0</v>
      </c>
      <c r="J723" s="269">
        <f ca="1">IFERROR(__xludf.DUMMYFUNCTION("IMPORTRANGE(""https://docs.google.com/spreadsheets/d/1XWAQStnk-4SwqDmLtmXYiTMKHgktTP8We1SCoS47DrQ/edit?usp=sharing"",""จัดที่ดิน!BM75"")"),0)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IFERROR(__xludf.DUMMYFUNCTION("IMPORTRANGE(""https://docs.google.com/spreadsheets/d/1XWAQStnk-4SwqDmLtmXYiTMKHgktTP8We1SCoS47DrQ/edit?usp=sharing"",""จัดที่ดิน!BN75"")"),0)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IFERROR(__xludf.DUMMYFUNCTION("IMPORTRANGE(""https://docs.google.com/spreadsheets/d/1QqKyyYR6Q21VydFLVH3TRQUabQu_ym0Zz7PgGX0-kHA/edit?usp=sharing"",""แผน!IM75"")"),0)</f>
        <v>0</v>
      </c>
      <c r="J725" s="269">
        <f ca="1">IFERROR(__xludf.DUMMYFUNCTION("IMPORTRANGE(""https://docs.google.com/spreadsheets/d/1XWAQStnk-4SwqDmLtmXYiTMKHgktTP8We1SCoS47DrQ/edit?usp=sharing"",""จัดที่ดิน!BO75"")"),0)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IFERROR(__xludf.DUMMYFUNCTION("IMPORTRANGE(""https://docs.google.com/spreadsheets/d/1QqKyyYR6Q21VydFLVH3TRQUabQu_ym0Zz7PgGX0-kHA/edit?usp=sharing"",""แผน!IN75"")"),0)</f>
        <v>0</v>
      </c>
      <c r="J726" s="269">
        <f ca="1">IFERROR(__xludf.DUMMYFUNCTION("IMPORTRANGE(""https://docs.google.com/spreadsheets/d/1XWAQStnk-4SwqDmLtmXYiTMKHgktTP8We1SCoS47DrQ/edit?usp=sharing"",""จัดที่ดิน!BR75"")"),0)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IFERROR(__xludf.DUMMYFUNCTION("IMPORTRANGE(""https://docs.google.com/spreadsheets/d/1XWAQStnk-4SwqDmLtmXYiTMKHgktTP8We1SCoS47DrQ/edit?usp=sharing"",""จัดที่ดิน!BS75"")"),0)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IFERROR(__xludf.DUMMYFUNCTION("IMPORTRANGE(""https://docs.google.com/spreadsheets/d/1QqKyyYR6Q21VydFLVH3TRQUabQu_ym0Zz7PgGX0-kHA/edit?usp=sharing"",""แผน!IO75"")"),0)</f>
        <v>0</v>
      </c>
      <c r="J728" s="269">
        <f ca="1">IFERROR(__xludf.DUMMYFUNCTION("IMPORTRANGE(""https://docs.google.com/spreadsheets/d/1XWAQStnk-4SwqDmLtmXYiTMKHgktTP8We1SCoS47DrQ/edit?usp=sharing"",""จัดที่ดิน!BT75"")"),0)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IFERROR(__xludf.DUMMYFUNCTION("IMPORTRANGE(""https://docs.google.com/spreadsheets/d/1QqKyyYR6Q21VydFLVH3TRQUabQu_ym0Zz7PgGX0-kHA/edit?usp=sharing"",""แผน!IP75"")"),0)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IFERROR(__xludf.DUMMYFUNCTION("IMPORTRANGE(""https://docs.google.com/spreadsheets/d/1MaWodYyGHDf7siQLGxnXhG4mBNTNIuy296niS2xXulU/edit?usp=sharing"",""RTK!I75"")"),0)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332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69">
        <f ca="1">IFERROR(__xludf.DUMMYFUNCTION("IMPORTRANGE(""https://docs.google.com/spreadsheets/d/19vJNZY_5yjcGF2XGBMNZRCAIB0Kwfpjp8YEOfu-bneM/edit?usp=sharing"",""งานกองทุน!F75"")"),23876.28)</f>
        <v>23876.28</v>
      </c>
      <c r="K821" s="497">
        <f t="shared" ref="K821:K828" ca="1" si="335">IF(I821&gt;0,J821*100/I821,0)</f>
        <v>15.178643855315071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IFERROR(__xludf.DUMMYFUNCTION("IMPORTRANGE(""https://docs.google.com/spreadsheets/d/19vJNZY_5yjcGF2XGBMNZRCAIB0Kwfpjp8YEOfu-bneM/edit?usp=sharing"",""งานกองทุน!C75"")"),18)</f>
        <v>18</v>
      </c>
      <c r="J822" s="269">
        <f ca="1">IFERROR(__xludf.DUMMYFUNCTION("IMPORTRANGE(""https://docs.google.com/spreadsheets/d/19vJNZY_5yjcGF2XGBMNZRCAIB0Kwfpjp8YEOfu-bneM/edit?usp=sharing"",""งานกองทุน!E75"")"),8)</f>
        <v>8</v>
      </c>
      <c r="K822" s="497">
        <f t="shared" ca="1" si="335"/>
        <v>44.444444444444443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69">
        <f ca="1">IFERROR(__xludf.DUMMYFUNCTION("IMPORTRANGE(""https://docs.google.com/spreadsheets/d/19vJNZY_5yjcGF2XGBMNZRCAIB0Kwfpjp8YEOfu-bneM/edit?usp=sharing"",""งานกองทุน!K75"")"),119114.69)</f>
        <v>119114.69</v>
      </c>
      <c r="K823" s="497">
        <f t="shared" ca="1" si="335"/>
        <v>15.634749512061711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IFERROR(__xludf.DUMMYFUNCTION("IMPORTRANGE(""https://docs.google.com/spreadsheets/d/19vJNZY_5yjcGF2XGBMNZRCAIB0Kwfpjp8YEOfu-bneM/edit?usp=sharing"",""งานกองทุน!H75"")"),26)</f>
        <v>26</v>
      </c>
      <c r="J824" s="269">
        <f ca="1">IFERROR(__xludf.DUMMYFUNCTION("IMPORTRANGE(""https://docs.google.com/spreadsheets/d/19vJNZY_5yjcGF2XGBMNZRCAIB0Kwfpjp8YEOfu-bneM/edit?usp=sharing"",""งานกองทุน!J75"")"),32)</f>
        <v>32</v>
      </c>
      <c r="K824" s="497">
        <f t="shared" ca="1" si="335"/>
        <v>123.07692307692308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IFERROR(__xludf.DUMMYFUNCTION("IMPORTRANGE(""https://docs.google.com/spreadsheets/d/19vJNZY_5yjcGF2XGBMNZRCAIB0Kwfpjp8YEOfu-bneM/edit?usp=sharing"",""งานกองทุน!N75"")"),0)</f>
        <v>0</v>
      </c>
      <c r="J825" s="269">
        <f ca="1">IFERROR(__xludf.DUMMYFUNCTION("IMPORTRANGE(""https://docs.google.com/spreadsheets/d/19vJNZY_5yjcGF2XGBMNZRCAIB0Kwfpjp8YEOfu-bneM/edit?usp=sharing"",""งานกองทุน!P75"")"),1684.62)</f>
        <v>1684.62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IFERROR(__xludf.DUMMYFUNCTION("IMPORTRANGE(""https://docs.google.com/spreadsheets/d/19vJNZY_5yjcGF2XGBMNZRCAIB0Kwfpjp8YEOfu-bneM/edit?usp=sharing"",""งานกองทุน!M75"")"),0)</f>
        <v>0</v>
      </c>
      <c r="J826" s="269">
        <f ca="1">IFERROR(__xludf.DUMMYFUNCTION("IMPORTRANGE(""https://docs.google.com/spreadsheets/d/19vJNZY_5yjcGF2XGBMNZRCAIB0Kwfpjp8YEOfu-bneM/edit?usp=sharing"",""งานกองทุน!O75"")"),2)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IFERROR(__xludf.DUMMYFUNCTION("IMPORTRANGE(""https://docs.google.com/spreadsheets/d/19vJNZY_5yjcGF2XGBMNZRCAIB0Kwfpjp8YEOfu-bneM/edit?usp=sharing"",""งานกองทุน!S75"")"),280000)</f>
        <v>280000</v>
      </c>
      <c r="J827" s="269">
        <f ca="1">IFERROR(__xludf.DUMMYFUNCTION("IMPORTRANGE(""https://docs.google.com/spreadsheets/d/19vJNZY_5yjcGF2XGBMNZRCAIB0Kwfpjp8YEOfu-bneM/edit?usp=sharing"",""งานกองทุน!U75"")"),0)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IFERROR(__xludf.DUMMYFUNCTION("IMPORTRANGE(""https://docs.google.com/spreadsheets/d/19vJNZY_5yjcGF2XGBMNZRCAIB0Kwfpjp8YEOfu-bneM/edit?usp=sharing"",""งานกองทุน!R75"")"),11)</f>
        <v>11</v>
      </c>
      <c r="J828" s="500">
        <f ca="1">IFERROR(__xludf.DUMMYFUNCTION("IMPORTRANGE(""https://docs.google.com/spreadsheets/d/19vJNZY_5yjcGF2XGBMNZRCAIB0Kwfpjp8YEOfu-bneM/edit?usp=sharing"",""งานกองทุน!T75"")"),0)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AD39D-5CB8-41A5-9325-3AE68E54BD3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333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5461541</v>
      </c>
      <c r="M8" s="22">
        <f t="shared" ca="1" si="0"/>
        <v>2100760</v>
      </c>
      <c r="N8" s="22">
        <f t="shared" ca="1" si="0"/>
        <v>1582299.41</v>
      </c>
      <c r="O8" s="22">
        <f t="shared" ref="O8:O16" ca="1" si="1">IF(L8&gt;0,N8*100/L8,0)</f>
        <v>28.971665872324312</v>
      </c>
      <c r="P8" s="22">
        <f t="shared" ref="P8:P16" ca="1" si="2">IF(M8&gt;0,N8*100/M8,0)</f>
        <v>75.320332165502009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5461541</v>
      </c>
      <c r="M10" s="30">
        <f t="shared" ca="1" si="3"/>
        <v>2100760</v>
      </c>
      <c r="N10" s="30">
        <f t="shared" ca="1" si="3"/>
        <v>1582299.41</v>
      </c>
      <c r="O10" s="30">
        <f t="shared" ca="1" si="1"/>
        <v>28.971665872324312</v>
      </c>
      <c r="P10" s="30">
        <f t="shared" ca="1" si="2"/>
        <v>75.320332165502009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5116741</v>
      </c>
      <c r="M11" s="497">
        <f t="shared" ca="1" si="4"/>
        <v>1755960</v>
      </c>
      <c r="N11" s="497">
        <f t="shared" ca="1" si="4"/>
        <v>1340499.4099999999</v>
      </c>
      <c r="O11" s="497">
        <f t="shared" ca="1" si="1"/>
        <v>26.198304936677463</v>
      </c>
      <c r="P11" s="497">
        <f t="shared" ca="1" si="2"/>
        <v>76.339974145196919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5116741</v>
      </c>
      <c r="M13" s="93">
        <f t="shared" ca="1" si="5"/>
        <v>1755960</v>
      </c>
      <c r="N13" s="93">
        <f t="shared" ca="1" si="5"/>
        <v>1340499.4099999999</v>
      </c>
      <c r="O13" s="93">
        <f t="shared" ca="1" si="1"/>
        <v>26.198304936677463</v>
      </c>
      <c r="P13" s="93">
        <f t="shared" ca="1" si="2"/>
        <v>76.339974145196919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344800</v>
      </c>
      <c r="M14" s="497">
        <f t="shared" ca="1" si="6"/>
        <v>344800</v>
      </c>
      <c r="N14" s="497">
        <f t="shared" ca="1" si="6"/>
        <v>241800</v>
      </c>
      <c r="O14" s="497">
        <f t="shared" ca="1" si="1"/>
        <v>70.127610208816705</v>
      </c>
      <c r="P14" s="497">
        <f t="shared" ca="1" si="2"/>
        <v>70.127610208816705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344800</v>
      </c>
      <c r="N16" s="52">
        <f t="shared" ca="1" si="7"/>
        <v>241800</v>
      </c>
      <c r="O16" s="52">
        <f t="shared" ca="1" si="1"/>
        <v>70.127610208816705</v>
      </c>
      <c r="P16" s="52">
        <f t="shared" ca="1" si="2"/>
        <v>70.127610208816705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2100760</v>
      </c>
      <c r="N18" s="22">
        <f t="shared" ca="1" si="8"/>
        <v>985296.40999999992</v>
      </c>
      <c r="O18" s="22">
        <f t="shared" ref="O18:O26" ca="1" si="9">IF(L18&gt;0,N18*100/L18,0)</f>
        <v>27.32194873060482</v>
      </c>
      <c r="P18" s="22">
        <f t="shared" ref="P18:P26" ca="1" si="10">IF(M18&gt;0,N18*100/M18,0)</f>
        <v>46.901902644757129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2100760</v>
      </c>
      <c r="N20" s="30">
        <f t="shared" ca="1" si="11"/>
        <v>985296.40999999992</v>
      </c>
      <c r="O20" s="30">
        <f t="shared" ca="1" si="9"/>
        <v>27.32194873060482</v>
      </c>
      <c r="P20" s="30">
        <f t="shared" ca="1" si="10"/>
        <v>46.901902644757129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3261445</v>
      </c>
      <c r="M21" s="497">
        <f t="shared" ca="1" si="12"/>
        <v>1755960</v>
      </c>
      <c r="N21" s="497">
        <f t="shared" ca="1" si="12"/>
        <v>743496.40999999992</v>
      </c>
      <c r="O21" s="497">
        <f t="shared" ca="1" si="9"/>
        <v>22.796533745011793</v>
      </c>
      <c r="P21" s="497">
        <f t="shared" ca="1" si="10"/>
        <v>42.341306749584263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3261445</v>
      </c>
      <c r="M23" s="93">
        <f t="shared" ca="1" si="13"/>
        <v>1755960</v>
      </c>
      <c r="N23" s="93">
        <f t="shared" ca="1" si="13"/>
        <v>743496.40999999992</v>
      </c>
      <c r="O23" s="93">
        <f t="shared" ca="1" si="9"/>
        <v>22.796533745011793</v>
      </c>
      <c r="P23" s="93">
        <f t="shared" ca="1" si="10"/>
        <v>42.341306749584263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344800</v>
      </c>
      <c r="M24" s="497">
        <f t="shared" ca="1" si="14"/>
        <v>344800</v>
      </c>
      <c r="N24" s="497">
        <f t="shared" ca="1" si="14"/>
        <v>241800</v>
      </c>
      <c r="O24" s="497">
        <f t="shared" ca="1" si="9"/>
        <v>70.127610208816705</v>
      </c>
      <c r="P24" s="497">
        <f t="shared" ca="1" si="10"/>
        <v>70.127610208816705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344800</v>
      </c>
      <c r="N26" s="52">
        <f t="shared" ca="1" si="15"/>
        <v>241800</v>
      </c>
      <c r="O26" s="52">
        <f t="shared" ca="1" si="9"/>
        <v>70.127610208816705</v>
      </c>
      <c r="P26" s="52">
        <f t="shared" ca="1" si="10"/>
        <v>70.127610208816705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1855296</v>
      </c>
      <c r="M28" s="22">
        <f t="shared" si="16"/>
        <v>0</v>
      </c>
      <c r="N28" s="22">
        <f t="shared" si="16"/>
        <v>597003</v>
      </c>
      <c r="O28" s="22">
        <f t="shared" ref="O28:O37" ca="1" si="17">IF(L28&gt;0,N28*100/L28,0)</f>
        <v>32.178315481734451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1855296</v>
      </c>
      <c r="M30" s="30">
        <f t="shared" si="19"/>
        <v>0</v>
      </c>
      <c r="N30" s="30">
        <f t="shared" si="19"/>
        <v>597003</v>
      </c>
      <c r="O30" s="30">
        <f t="shared" ca="1" si="17"/>
        <v>32.178315481734451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1855296</v>
      </c>
      <c r="M31" s="497">
        <f t="shared" si="20"/>
        <v>0</v>
      </c>
      <c r="N31" s="497">
        <f t="shared" si="20"/>
        <v>597003</v>
      </c>
      <c r="O31" s="497">
        <f t="shared" ca="1" si="17"/>
        <v>32.178315481734451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1855296</v>
      </c>
      <c r="M33" s="93">
        <f t="shared" si="21"/>
        <v>0</v>
      </c>
      <c r="N33" s="93">
        <f t="shared" si="21"/>
        <v>597003</v>
      </c>
      <c r="O33" s="93">
        <f t="shared" ca="1" si="17"/>
        <v>32.178315481734451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3606245</v>
      </c>
      <c r="M37" s="59">
        <f t="shared" ca="1" si="24"/>
        <v>2100760</v>
      </c>
      <c r="N37" s="59">
        <f t="shared" ca="1" si="24"/>
        <v>985296.40999999992</v>
      </c>
      <c r="O37" s="59">
        <f t="shared" ca="1" si="17"/>
        <v>27.32194873060482</v>
      </c>
      <c r="P37" s="59">
        <f t="shared" ca="1" si="18"/>
        <v>46.901902644757129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311300</v>
      </c>
      <c r="N41" s="85">
        <f t="shared" ca="1" si="25"/>
        <v>150900</v>
      </c>
      <c r="O41" s="85">
        <f t="shared" ref="O41:O49" ca="1" si="26">IF(L41&gt;0,N41*100/L41,0)</f>
        <v>25.183578104138853</v>
      </c>
      <c r="P41" s="85">
        <f t="shared" ref="P41:P49" ca="1" si="27">IF(M41&gt;0,N41*100/M41,0)</f>
        <v>48.474140700289112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311300</v>
      </c>
      <c r="N43" s="92">
        <f t="shared" ca="1" si="28"/>
        <v>150900</v>
      </c>
      <c r="O43" s="92">
        <f t="shared" ca="1" si="26"/>
        <v>25.183578104138853</v>
      </c>
      <c r="P43" s="92">
        <f t="shared" ca="1" si="27"/>
        <v>48.474140700289112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599200</v>
      </c>
      <c r="M44" s="497">
        <f t="shared" ca="1" si="29"/>
        <v>311300</v>
      </c>
      <c r="N44" s="497">
        <f t="shared" ca="1" si="29"/>
        <v>150900</v>
      </c>
      <c r="O44" s="497">
        <f t="shared" ca="1" si="26"/>
        <v>25.183578104138853</v>
      </c>
      <c r="P44" s="497">
        <f t="shared" ca="1" si="27"/>
        <v>48.474140700289112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IFERROR(__xludf.DUMMYFUNCTION("IMPORTRANGE(""https://docs.google.com/spreadsheets/d/1MeEWN-I1oV_STSDYn1IFDPWt_1FKiwhDph83XaGc0o0/edit?usp=sharing"",""งบพรบ!R76"")"),311300)</f>
        <v>311300</v>
      </c>
      <c r="N46" s="93">
        <f ca="1">IFERROR(__xludf.DUMMYFUNCTION("IMPORTRANGE(""https://docs.google.com/spreadsheets/d/1MeEWN-I1oV_STSDYn1IFDPWt_1FKiwhDph83XaGc0o0/edit?usp=sharing"",""งบพรบ!T76"")"),150900)</f>
        <v>150900</v>
      </c>
      <c r="O46" s="93">
        <f t="shared" ca="1" si="26"/>
        <v>25.183578104138853</v>
      </c>
      <c r="P46" s="93">
        <f t="shared" ca="1" si="27"/>
        <v>48.474140700289112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383150</v>
      </c>
      <c r="N53" s="116">
        <f t="shared" ca="1" si="31"/>
        <v>289686.20999999996</v>
      </c>
      <c r="O53" s="116">
        <f t="shared" ref="O53:O61" ca="1" si="32">IF(L53&gt;0,N53*100/L53,0)</f>
        <v>39.874220233998621</v>
      </c>
      <c r="P53" s="116">
        <f t="shared" ref="P53:P61" ca="1" si="33">IF(M53&gt;0,N53*100/M53,0)</f>
        <v>75.606475270781672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383150</v>
      </c>
      <c r="N55" s="123">
        <f t="shared" ca="1" si="34"/>
        <v>289686.20999999996</v>
      </c>
      <c r="O55" s="123">
        <f t="shared" ca="1" si="32"/>
        <v>39.874220233998621</v>
      </c>
      <c r="P55" s="123">
        <f t="shared" ca="1" si="33"/>
        <v>75.606475270781672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686700</v>
      </c>
      <c r="M56" s="497">
        <f t="shared" ca="1" si="35"/>
        <v>343350</v>
      </c>
      <c r="N56" s="497">
        <f t="shared" ca="1" si="35"/>
        <v>249886.21</v>
      </c>
      <c r="O56" s="497">
        <f t="shared" ca="1" si="32"/>
        <v>36.389429153924567</v>
      </c>
      <c r="P56" s="497">
        <f t="shared" ca="1" si="33"/>
        <v>72.778858307849134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IFERROR(__xludf.DUMMYFUNCTION("IMPORTRANGE(""https://docs.google.com/spreadsheets/d/1MeEWN-I1oV_STSDYn1IFDPWt_1FKiwhDph83XaGc0o0/edit?usp=sharing"",""งบพรบ!AB76"")"),343350)</f>
        <v>343350</v>
      </c>
      <c r="N58" s="93">
        <f ca="1">IFERROR(__xludf.DUMMYFUNCTION("IMPORTRANGE(""https://docs.google.com/spreadsheets/d/1MeEWN-I1oV_STSDYn1IFDPWt_1FKiwhDph83XaGc0o0/edit?usp=sharing"",""งบพรบ!AD76"")"),249886.21)</f>
        <v>249886.21</v>
      </c>
      <c r="O58" s="93">
        <f t="shared" ca="1" si="32"/>
        <v>36.389429153924567</v>
      </c>
      <c r="P58" s="93">
        <f t="shared" ca="1" si="33"/>
        <v>72.778858307849134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39800</v>
      </c>
      <c r="M59" s="497">
        <f t="shared" ca="1" si="36"/>
        <v>39800</v>
      </c>
      <c r="N59" s="497">
        <f t="shared" ca="1" si="36"/>
        <v>39800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IFERROR(__xludf.DUMMYFUNCTION("IMPORTRANGE(""https://docs.google.com/spreadsheets/d/1MeEWN-I1oV_STSDYn1IFDPWt_1FKiwhDph83XaGc0o0/edit?usp=sharing"",""งบพรบ!AC76"")"),39800)</f>
        <v>39800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795800</v>
      </c>
      <c r="M66" s="155">
        <f t="shared" ca="1" si="39"/>
        <v>488400</v>
      </c>
      <c r="N66" s="155">
        <f t="shared" ca="1" si="39"/>
        <v>161062</v>
      </c>
      <c r="O66" s="155">
        <f t="shared" ref="O66:O74" ca="1" si="40">IF(L66&gt;0,N66*100/L66,0)</f>
        <v>20.239004775069112</v>
      </c>
      <c r="P66" s="155">
        <f t="shared" ref="P66:P74" ca="1" si="41">IF(M66&gt;0,N66*100/M66,0)</f>
        <v>32.977477477477478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795800</v>
      </c>
      <c r="M68" s="93">
        <f t="shared" ca="1" si="42"/>
        <v>488400</v>
      </c>
      <c r="N68" s="93">
        <f t="shared" ca="1" si="42"/>
        <v>161062</v>
      </c>
      <c r="O68" s="93">
        <f t="shared" ca="1" si="40"/>
        <v>20.239004775069112</v>
      </c>
      <c r="P68" s="93">
        <f t="shared" ca="1" si="41"/>
        <v>32.977477477477478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795800</v>
      </c>
      <c r="M69" s="497">
        <f t="shared" ca="1" si="43"/>
        <v>488400</v>
      </c>
      <c r="N69" s="497">
        <f t="shared" ca="1" si="43"/>
        <v>161062</v>
      </c>
      <c r="O69" s="497">
        <f t="shared" ca="1" si="40"/>
        <v>20.239004775069112</v>
      </c>
      <c r="P69" s="497">
        <f t="shared" ca="1" si="41"/>
        <v>32.977477477477478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IFERROR(__xludf.DUMMYFUNCTION("IMPORTRANGE(""https://docs.google.com/spreadsheets/d/1MeEWN-I1oV_STSDYn1IFDPWt_1FKiwhDph83XaGc0o0/edit?usp=sharing"",""งบพรบ!AL76"")"),488400)</f>
        <v>488400</v>
      </c>
      <c r="N71" s="93">
        <f ca="1">IFERROR(__xludf.DUMMYFUNCTION("IMPORTRANGE(""https://docs.google.com/spreadsheets/d/1MeEWN-I1oV_STSDYn1IFDPWt_1FKiwhDph83XaGc0o0/edit?usp=sharing"",""งบพรบ!AN76"")"),161062)</f>
        <v>161062</v>
      </c>
      <c r="O71" s="93">
        <f t="shared" ca="1" si="40"/>
        <v>20.239004775069112</v>
      </c>
      <c r="P71" s="93">
        <f t="shared" ca="1" si="41"/>
        <v>32.977477477477478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30</v>
      </c>
      <c r="J77" s="269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4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4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27750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31200</v>
      </c>
      <c r="M90" s="93">
        <f t="shared" ca="1" si="52"/>
        <v>27750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27750</v>
      </c>
      <c r="N91" s="497">
        <f t="shared" ca="1" si="53"/>
        <v>0</v>
      </c>
      <c r="O91" s="497">
        <f t="shared" ca="1" si="50"/>
        <v>0</v>
      </c>
      <c r="P91" s="497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IFERROR(__xludf.DUMMYFUNCTION("IMPORTRANGE(""https://docs.google.com/spreadsheets/d/1MeEWN-I1oV_STSDYn1IFDPWt_1FKiwhDph83XaGc0o0/edit?usp=sharing"",""งบพรบ!AV76"")"),27750)</f>
        <v>27750</v>
      </c>
      <c r="N93" s="93">
        <f ca="1">IFERROR(__xludf.DUMMYFUNCTION("IMPORTRANGE(""https://docs.google.com/spreadsheets/d/1MeEWN-I1oV_STSDYn1IFDPWt_1FKiwhDph83XaGc0o0/edit?usp=sharing"",""งบพรบ!AX76"")"),0)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IFERROR(__xludf.DUMMYFUNCTION("IMPORTRANGE(""https://docs.google.com/spreadsheets/d/1QqKyyYR6Q21VydFLVH3TRQUabQu_ym0Zz7PgGX0-kHA/edit?usp=sharing"",""แผน!K76"")"),0)</f>
        <v>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IFERROR(__xludf.DUMMYFUNCTION("IMPORTRANGE(""https://docs.google.com/spreadsheets/d/1QqKyyYR6Q21VydFLVH3TRQUabQu_ym0Zz7PgGX0-kHA/edit?usp=sharing"",""แผน!L76"")"),0)</f>
        <v>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IFERROR(__xludf.DUMMYFUNCTION("IMPORTRANGE(""https://docs.google.com/spreadsheets/d/1QqKyyYR6Q21VydFLVH3TRQUabQu_ym0Zz7PgGX0-kHA/edit?usp=sharing"",""แผน!M76"")"),1)</f>
        <v>1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IFERROR(__xludf.DUMMYFUNCTION("IMPORTRANGE(""https://docs.google.com/spreadsheets/d/1QqKyyYR6Q21VydFLVH3TRQUabQu_ym0Zz7PgGX0-kHA/edit?usp=sharing"",""แผน!N76"")"),0)</f>
        <v>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IFERROR(__xludf.DUMMYFUNCTION("IMPORTRANGE(""https://docs.google.com/spreadsheets/d/1QqKyyYR6Q21VydFLVH3TRQUabQu_ym0Zz7PgGX0-kHA/edit?usp=sharing"",""แผน!O76"")"),0)</f>
        <v>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IFERROR(__xludf.DUMMYFUNCTION("IMPORTRANGE(""https://docs.google.com/spreadsheets/d/1QqKyyYR6Q21VydFLVH3TRQUabQu_ym0Zz7PgGX0-kHA/edit?usp=sharing"",""แผน!O76"")"),0)</f>
        <v>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IFERROR(__xludf.DUMMYFUNCTION("IMPORTRANGE(""https://docs.google.com/spreadsheets/d/1QqKyyYR6Q21VydFLVH3TRQUabQu_ym0Zz7PgGX0-kHA/edit?usp=sharing"",""แผน!P76"")"),1)</f>
        <v>1</v>
      </c>
      <c r="J106" s="214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IFERROR(__xludf.DUMMYFUNCTION("IMPORTRANGE(""https://docs.google.com/spreadsheets/d/1QqKyyYR6Q21VydFLVH3TRQUabQu_ym0Zz7PgGX0-kHA/edit?usp=sharing"",""แผน!P76"")"),1)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IFERROR(__xludf.DUMMYFUNCTION("IMPORTRANGE(""https://docs.google.com/spreadsheets/d/1QqKyyYR6Q21VydFLVH3TRQUabQu_ym0Zz7PgGX0-kHA/edit?usp=sharing"",""แผน!Q76"")"),0)</f>
        <v>0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IFERROR(__xludf.DUMMYFUNCTION("IMPORTRANGE(""https://docs.google.com/spreadsheets/d/1QqKyyYR6Q21VydFLVH3TRQUabQu_ym0Zz7PgGX0-kHA/edit?usp=sharing"",""แผน!Q76"")"),0)</f>
        <v>0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30600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IFERROR(__xludf.DUMMYFUNCTION("IMPORTRANGE(""https://docs.google.com/spreadsheets/d/1MeEWN-I1oV_STSDYn1IFDPWt_1FKiwhDph83XaGc0o0/edit?usp=sharing"",""งบพรบ!BP76"")"),30600)</f>
        <v>30600</v>
      </c>
      <c r="N137" s="93">
        <f ca="1">IFERROR(__xludf.DUMMYFUNCTION("IMPORTRANGE(""https://docs.google.com/spreadsheets/d/1MeEWN-I1oV_STSDYn1IFDPWt_1FKiwhDph83XaGc0o0/edit?usp=sharing"",""งบพรบ!BR76"")"),0)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IFERROR(__xludf.DUMMYFUNCTION("IMPORTRANGE(""https://docs.google.com/spreadsheets/d/1QqKyyYR6Q21VydFLVH3TRQUabQu_ym0Zz7PgGX0-kHA/edit?usp=sharing"",""แผน!U76"")"),5)</f>
        <v>5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IFERROR(__xludf.DUMMYFUNCTION("IMPORTRANGE(""https://docs.google.com/spreadsheets/d/1QqKyyYR6Q21VydFLVH3TRQUabQu_ym0Zz7PgGX0-kHA/edit?usp=sharing"",""แผน!V76"")"),10)</f>
        <v>10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IFERROR(__xludf.DUMMYFUNCTION("IMPORTRANGE(""https://docs.google.com/spreadsheets/d/1QqKyyYR6Q21VydFLVH3TRQUabQu_ym0Zz7PgGX0-kHA/edit?usp=sharing"",""แผน!W76"")"),1)</f>
        <v>1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IFERROR(__xludf.DUMMYFUNCTION("IMPORTRANGE(""https://docs.google.com/spreadsheets/d/1MeEWN-I1oV_STSDYn1IFDPWt_1FKiwhDph83XaGc0o0/edit?usp=sharing"",""งบพรบ!BZ76"")"),10000)</f>
        <v>10000</v>
      </c>
      <c r="N154" s="93">
        <f ca="1">IFERROR(__xludf.DUMMYFUNCTION("IMPORTRANGE(""https://docs.google.com/spreadsheets/d/1MeEWN-I1oV_STSDYn1IFDPWt_1FKiwhDph83XaGc0o0/edit?usp=sharing"",""งบพรบ!CB76"")"),0)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IFERROR(__xludf.DUMMYFUNCTION("IMPORTRANGE(""https://docs.google.com/spreadsheets/d/1QqKyyYR6Q21VydFLVH3TRQUabQu_ym0Zz7PgGX0-kHA/edit?usp=sharing"",""แผน!X76"")"),20)</f>
        <v>20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50">
        <f t="shared" ref="I164:J164" ca="1" si="83">I174+I177</f>
        <v>0</v>
      </c>
      <c r="J164" s="850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IFERROR(__xludf.DUMMYFUNCTION("IMPORTRANGE(""https://docs.google.com/spreadsheets/d/1QqKyyYR6Q21VydFLVH3TRQUabQu_ym0Zz7PgGX0-kHA/edit?usp=sharing"",""แผน!Y76"")"),0)</f>
        <v>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64000</v>
      </c>
      <c r="M181" s="155">
        <f t="shared" ca="1" si="92"/>
        <v>40000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64000</v>
      </c>
      <c r="M183" s="93">
        <f t="shared" ca="1" si="95"/>
        <v>40000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64000</v>
      </c>
      <c r="M184" s="497">
        <f t="shared" ca="1" si="96"/>
        <v>40000</v>
      </c>
      <c r="N184" s="497">
        <f t="shared" ca="1" si="96"/>
        <v>0</v>
      </c>
      <c r="O184" s="497">
        <f t="shared" ca="1" si="93"/>
        <v>0</v>
      </c>
      <c r="P184" s="497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IFERROR(__xludf.DUMMYFUNCTION("IMPORTRANGE(""https://docs.google.com/spreadsheets/d/1MeEWN-I1oV_STSDYn1IFDPWt_1FKiwhDph83XaGc0o0/edit?usp=sharing"",""งบพรบ!CT76"")"),40000)</f>
        <v>40000</v>
      </c>
      <c r="N186" s="93">
        <f ca="1">IFERROR(__xludf.DUMMYFUNCTION("IMPORTRANGE(""https://docs.google.com/spreadsheets/d/1MeEWN-I1oV_STSDYn1IFDPWt_1FKiwhDph83XaGc0o0/edit?usp=sharing"",""งบพรบ!CV76"")"),0)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IFERROR(__xludf.DUMMYFUNCTION("IMPORTRANGE(""https://docs.google.com/spreadsheets/d/1QqKyyYR6Q21VydFLVH3TRQUabQu_ym0Zz7PgGX0-kHA/edit?usp=sharing"",""แผน!AC76"")"),4)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IFERROR(__xludf.DUMMYFUNCTION("IMPORTRANGE(""https://docs.google.com/spreadsheets/d/1QqKyyYR6Q21VydFLVH3TRQUabQu_ym0Zz7PgGX0-kHA/edit?usp=sharing"",""แผน!AE76"")"),2000)</f>
        <v>2000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IFERROR(__xludf.DUMMYFUNCTION("IMPORTRANGE(""https://docs.google.com/spreadsheets/d/1QqKyyYR6Q21VydFLVH3TRQUabQu_ym0Zz7PgGX0-kHA/edit?usp=sharing"",""แผน!AF76"")"),16000)</f>
        <v>16000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IFERROR(__xludf.DUMMYFUNCTION("IMPORTRANGE(""https://docs.google.com/spreadsheets/d/1QqKyyYR6Q21VydFLVH3TRQUabQu_ym0Zz7PgGX0-kHA/edit?usp=sharing"",""แผน!AG76"")"),8000)</f>
        <v>8000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IFERROR(__xludf.DUMMYFUNCTION("IMPORTRANGE(""https://docs.google.com/spreadsheets/d/1QqKyyYR6Q21VydFLVH3TRQUabQu_ym0Zz7PgGX0-kHA/edit?usp=sharing"",""แผน!AH76"")"),0)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IFERROR(__xludf.DUMMYFUNCTION("IMPORTRANGE(""https://docs.google.com/spreadsheets/d/1QqKyyYR6Q21VydFLVH3TRQUabQu_ym0Zz7PgGX0-kHA/edit?usp=sharing"",""แผน!AI76"")"),2)</f>
        <v>2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1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IFERROR(__xludf.DUMMYFUNCTION("IMPORTRANGE(""https://docs.google.com/spreadsheets/d/1QqKyyYR6Q21VydFLVH3TRQUabQu_ym0Zz7PgGX0-kHA/edit?usp=sharing"",""แผน!AK76"")"),1000)</f>
        <v>1000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IFERROR(__xludf.DUMMYFUNCTION("IMPORTRANGE(""https://docs.google.com/spreadsheets/d/1QqKyyYR6Q21VydFLVH3TRQUabQu_ym0Zz7PgGX0-kHA/edit?usp=sharing"",""แผน!AL76"")"),5000)</f>
        <v>5000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IFERROR(__xludf.DUMMYFUNCTION("IMPORTRANGE(""https://docs.google.com/spreadsheets/d/1QqKyyYR6Q21VydFLVH3TRQUabQu_ym0Zz7PgGX0-kHA/edit?usp=sharing"",""แผน!AM76"")"),8000)</f>
        <v>8000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IFERROR(__xludf.DUMMYFUNCTION("IMPORTRANGE(""https://docs.google.com/spreadsheets/d/1QqKyyYR6Q21VydFLVH3TRQUabQu_ym0Zz7PgGX0-kHA/edit?usp=sharing"",""แผน!AN76"")"),1)</f>
        <v>1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IFERROR(__xludf.DUMMYFUNCTION("IMPORTRANGE(""https://docs.google.com/spreadsheets/d/1QqKyyYR6Q21VydFLVH3TRQUabQu_ym0Zz7PgGX0-kHA/edit?usp=sharing"",""แผน!AN76"")"),1)</f>
        <v>1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20000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18000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IFERROR(__xludf.DUMMYFUNCTION("IMPORTRANGE(""https://docs.google.com/spreadsheets/d/1QqKyyYR6Q21VydFLVH3TRQUabQu_ym0Zz7PgGX0-kHA/edit?usp=sharing"",""แผน!AP76"")"),3000)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IFERROR(__xludf.DUMMYFUNCTION("IMPORTRANGE(""https://docs.google.com/spreadsheets/d/1QqKyyYR6Q21VydFLVH3TRQUabQu_ym0Zz7PgGX0-kHA/edit?usp=sharing"",""แผน!AQ76"")"),5000)</f>
        <v>5000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IFERROR(__xludf.DUMMYFUNCTION("IMPORTRANGE(""https://docs.google.com/spreadsheets/d/1QqKyyYR6Q21VydFLVH3TRQUabQu_ym0Zz7PgGX0-kHA/edit?usp=sharing"",""แผน!AR76"")"),10000)</f>
        <v>10000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IFERROR(__xludf.DUMMYFUNCTION("IMPORTRANGE(""https://docs.google.com/spreadsheets/d/1QqKyyYR6Q21VydFLVH3TRQUabQu_ym0Zz7PgGX0-kHA/edit?usp=sharing"",""แผน!AT76"")"),20000)</f>
        <v>20000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IFERROR(__xludf.DUMMYFUNCTION("IMPORTRANGE(""https://docs.google.com/spreadsheets/d/1QqKyyYR6Q21VydFLVH3TRQUabQu_ym0Zz7PgGX0-kHA/edit?usp=sharing"",""แผน!AT76"")"),20000)</f>
        <v>20000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IFERROR(__xludf.DUMMYFUNCTION("IMPORTRANGE(""https://docs.google.com/spreadsheets/d/1QqKyyYR6Q21VydFLVH3TRQUabQu_ym0Zz7PgGX0-kHA/edit?usp=sharing"",""แผน!AS76"")"),10)</f>
        <v>10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IFERROR(__xludf.DUMMYFUNCTION("IMPORTRANGE(""https://docs.google.com/spreadsheets/d/1QqKyyYR6Q21VydFLVH3TRQUabQu_ym0Zz7PgGX0-kHA/edit?usp=sharing"",""แผน!AV76"")"),0)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IFERROR(__xludf.DUMMYFUNCTION("IMPORTRANGE(""https://docs.google.com/spreadsheets/d/1QqKyyYR6Q21VydFLVH3TRQUabQu_ym0Zz7PgGX0-kHA/edit?usp=sharing"",""แผน!AW76"")"),0)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IFERROR(__xludf.DUMMYFUNCTION("IMPORTRANGE(""https://docs.google.com/spreadsheets/d/1QqKyyYR6Q21VydFLVH3TRQUabQu_ym0Zz7PgGX0-kHA/edit?usp=sharing"",""แผน!AX76"")"),0)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IFERROR(__xludf.DUMMYFUNCTION("IMPORTRANGE(""https://docs.google.com/spreadsheets/d/1QqKyyYR6Q21VydFLVH3TRQUabQu_ym0Zz7PgGX0-kHA/edit?usp=sharing"",""แผน!AY76"")"),0)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IFERROR(__xludf.DUMMYFUNCTION("IMPORTRANGE(""https://docs.google.com/spreadsheets/d/1QqKyyYR6Q21VydFLVH3TRQUabQu_ym0Zz7PgGX0-kHA/edit?usp=sharing"",""แผน!BE76"")"),0)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IFERROR(__xludf.DUMMYFUNCTION("IMPORTRANGE(""https://docs.google.com/spreadsheets/d/1QqKyyYR6Q21VydFLVH3TRQUabQu_ym0Zz7PgGX0-kHA/edit?usp=sharing"",""แผน!AZ76"")"),0)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IFERROR(__xludf.DUMMYFUNCTION("IMPORTRANGE(""https://docs.google.com/spreadsheets/d/1QqKyyYR6Q21VydFLVH3TRQUabQu_ym0Zz7PgGX0-kHA/edit?usp=sharing"",""แผน!BA76"")"),0)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IFERROR(__xludf.DUMMYFUNCTION("IMPORTRANGE(""https://docs.google.com/spreadsheets/d/1QqKyyYR6Q21VydFLVH3TRQUabQu_ym0Zz7PgGX0-kHA/edit?usp=sharing"",""แผน!BB76"")"),0)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IFERROR(__xludf.DUMMYFUNCTION("IMPORTRANGE(""https://docs.google.com/spreadsheets/d/1QqKyyYR6Q21VydFLVH3TRQUabQu_ym0Zz7PgGX0-kHA/edit?usp=sharing"",""แผน!BC76"")"),0)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IFERROR(__xludf.DUMMYFUNCTION("IMPORTRANGE(""https://docs.google.com/spreadsheets/d/1QqKyyYR6Q21VydFLVH3TRQUabQu_ym0Zz7PgGX0-kHA/edit?usp=sharing"",""แผน!BF76"")"),0)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24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28800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IFERROR(__xludf.DUMMYFUNCTION("IMPORTRANGE(""https://docs.google.com/spreadsheets/d/1MeEWN-I1oV_STSDYn1IFDPWt_1FKiwhDph83XaGc0o0/edit?usp=sharing"",""งบพรบ!DD76"")"),0)</f>
        <v>0</v>
      </c>
      <c r="N266" s="93">
        <f ca="1">IFERROR(__xludf.DUMMYFUNCTION("IMPORTRANGE(""https://docs.google.com/spreadsheets/d/1MeEWN-I1oV_STSDYn1IFDPWt_1FKiwhDph83XaGc0o0/edit?usp=sharing"",""งบพรบ!DF76"")"),0)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IFERROR(__xludf.DUMMYFUNCTION("IMPORTRANGE(""https://docs.google.com/spreadsheets/d/1QqKyyYR6Q21VydFLVH3TRQUabQu_ym0Zz7PgGX0-kHA/edit?usp=sharing"",""แผน!EA76"")"),24)</f>
        <v>24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5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50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9410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22630</v>
      </c>
      <c r="M279" s="93">
        <f t="shared" ca="1" si="128"/>
        <v>9410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9410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IFERROR(__xludf.DUMMYFUNCTION("IMPORTRANGE(""https://docs.google.com/spreadsheets/d/1MeEWN-I1oV_STSDYn1IFDPWt_1FKiwhDph83XaGc0o0/edit?usp=sharing"",""งบพรบ!DN76"")"),9410)</f>
        <v>9410</v>
      </c>
      <c r="N282" s="93">
        <f ca="1">IFERROR(__xludf.DUMMYFUNCTION("IMPORTRANGE(""https://docs.google.com/spreadsheets/d/1MeEWN-I1oV_STSDYn1IFDPWt_1FKiwhDph83XaGc0o0/edit?usp=sharing"",""งบพรบ!DP76"")"),0)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IFERROR(__xludf.DUMMYFUNCTION("IMPORTRANGE(""https://docs.google.com/spreadsheets/d/1QqKyyYR6Q21VydFLVH3TRQUabQu_ym0Zz7PgGX0-kHA/edit?usp=sharing"",""แผน!EC76"")"),50)</f>
        <v>50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IFERROR(__xludf.DUMMYFUNCTION("IMPORTRANGE(""https://docs.google.com/spreadsheets/d/1QqKyyYR6Q21VydFLVH3TRQUabQu_ym0Zz7PgGX0-kHA/edit?usp=sharing"",""แผน!EB76"")"),5)</f>
        <v>5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6" t="s">
        <v>136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IFERROR(__xludf.DUMMYFUNCTION("IMPORTRANGE(""https://docs.google.com/spreadsheets/d/1QqKyyYR6Q21VydFLVH3TRQUabQu_ym0Zz7PgGX0-kHA/edit?usp=sharing"",""แผน!EB76"")"),5)</f>
        <v>5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32060</v>
      </c>
      <c r="O298" s="155">
        <f t="shared" ref="O298:O306" ca="1" si="136">IF(L298&gt;0,N298*100/L298,0)</f>
        <v>38.907766990291265</v>
      </c>
      <c r="P298" s="155">
        <f t="shared" ref="P298:P306" ca="1" si="137">IF(M298&gt;0,N298*100/M298,0)</f>
        <v>65.26872964169381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32060</v>
      </c>
      <c r="O300" s="93">
        <f t="shared" ca="1" si="136"/>
        <v>38.907766990291265</v>
      </c>
      <c r="P300" s="93">
        <f t="shared" ca="1" si="137"/>
        <v>65.26872964169381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32060</v>
      </c>
      <c r="O301" s="497">
        <f t="shared" ca="1" si="136"/>
        <v>38.907766990291265</v>
      </c>
      <c r="P301" s="497">
        <f t="shared" ca="1" si="137"/>
        <v>65.26872964169381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IFERROR(__xludf.DUMMYFUNCTION("IMPORTRANGE(""https://docs.google.com/spreadsheets/d/1MeEWN-I1oV_STSDYn1IFDPWt_1FKiwhDph83XaGc0o0/edit?usp=sharing"",""งบพรบ!DX76"")"),49120)</f>
        <v>49120</v>
      </c>
      <c r="N303" s="93">
        <f ca="1">IFERROR(__xludf.DUMMYFUNCTION("IMPORTRANGE(""https://docs.google.com/spreadsheets/d/1MeEWN-I1oV_STSDYn1IFDPWt_1FKiwhDph83XaGc0o0/edit?usp=sharing"",""งบพรบ!DZ76"")"),32060)</f>
        <v>32060</v>
      </c>
      <c r="O303" s="93">
        <f t="shared" ca="1" si="136"/>
        <v>38.907766990291265</v>
      </c>
      <c r="P303" s="93">
        <f t="shared" ca="1" si="137"/>
        <v>65.26872964169381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IFERROR(__xludf.DUMMYFUNCTION("IMPORTRANGE(""https://docs.google.com/spreadsheets/d/1QqKyyYR6Q21VydFLVH3TRQUabQu_ym0Zz7PgGX0-kHA/edit?usp=sharing"",""แผน!ED76"")"),20)</f>
        <v>20</v>
      </c>
      <c r="J309" s="214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IFERROR(__xludf.DUMMYFUNCTION("IMPORTRANGE(""https://docs.google.com/spreadsheets/d/1QqKyyYR6Q21VydFLVH3TRQUabQu_ym0Zz7PgGX0-kHA/edit?usp=sharing"",""แผน!ED76"")"),20)</f>
        <v>20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IFERROR(__xludf.DUMMYFUNCTION("IMPORTRANGE(""https://docs.google.com/spreadsheets/d/1QqKyyYR6Q21VydFLVH3TRQUabQu_ym0Zz7PgGX0-kHA/edit?usp=sharing"",""แผน!ED76"")"),20)</f>
        <v>20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IFERROR(__xludf.DUMMYFUNCTION("IMPORTRANGE(""https://docs.google.com/spreadsheets/d/1QqKyyYR6Q21VydFLVH3TRQUabQu_ym0Zz7PgGX0-kHA/edit?usp=sharing"",""แผน!EE76"")"),4)</f>
        <v>4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76500</v>
      </c>
      <c r="N315" s="155">
        <f t="shared" ca="1" si="143"/>
        <v>29230.2</v>
      </c>
      <c r="O315" s="155">
        <f t="shared" ref="O315:O323" ca="1" si="144">IF(L315&gt;0,N315*100/L315,0)</f>
        <v>19.104705882352942</v>
      </c>
      <c r="P315" s="155">
        <f t="shared" ref="P315:P323" ca="1" si="145">IF(M315&gt;0,N315*100/M315,0)</f>
        <v>38.209411764705884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153000</v>
      </c>
      <c r="M317" s="93">
        <f t="shared" ca="1" si="146"/>
        <v>76500</v>
      </c>
      <c r="N317" s="93">
        <f t="shared" ca="1" si="146"/>
        <v>29230.2</v>
      </c>
      <c r="O317" s="93">
        <f t="shared" ca="1" si="144"/>
        <v>19.104705882352942</v>
      </c>
      <c r="P317" s="93">
        <f t="shared" ca="1" si="145"/>
        <v>38.209411764705884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76500</v>
      </c>
      <c r="N318" s="497">
        <f t="shared" ca="1" si="147"/>
        <v>29230.2</v>
      </c>
      <c r="O318" s="497">
        <f t="shared" ca="1" si="144"/>
        <v>19.104705882352942</v>
      </c>
      <c r="P318" s="497">
        <f t="shared" ca="1" si="145"/>
        <v>38.209411764705884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IFERROR(__xludf.DUMMYFUNCTION("IMPORTRANGE(""https://docs.google.com/spreadsheets/d/1MeEWN-I1oV_STSDYn1IFDPWt_1FKiwhDph83XaGc0o0/edit?usp=sharing"",""งบพรบ!EH76"")"),76500)</f>
        <v>76500</v>
      </c>
      <c r="N320" s="93">
        <f ca="1">IFERROR(__xludf.DUMMYFUNCTION("IMPORTRANGE(""https://docs.google.com/spreadsheets/d/1MeEWN-I1oV_STSDYn1IFDPWt_1FKiwhDph83XaGc0o0/edit?usp=sharing"",""งบพรบ!EJ76"")"),29230.2)</f>
        <v>29230.2</v>
      </c>
      <c r="O320" s="93">
        <f t="shared" ca="1" si="144"/>
        <v>19.104705882352942</v>
      </c>
      <c r="P320" s="93">
        <f t="shared" ca="1" si="145"/>
        <v>38.209411764705884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IFERROR(__xludf.DUMMYFUNCTION("IMPORTRANGE(""https://docs.google.com/spreadsheets/d/1QqKyyYR6Q21VydFLVH3TRQUabQu_ym0Zz7PgGX0-kHA/edit?usp=sharing"",""แผน!EF76"")"),1)</f>
        <v>1</v>
      </c>
      <c r="J325" s="214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IFERROR(__xludf.DUMMYFUNCTION("IMPORTRANGE(""https://docs.google.com/spreadsheets/d/1QqKyyYR6Q21VydFLVH3TRQUabQu_ym0Zz7PgGX0-kHA/edit?usp=sharing"",""แผน!EG76"")"),3100)</f>
        <v>3100</v>
      </c>
      <c r="J327" s="444">
        <f ca="1">J338+J341+J342+J343</f>
        <v>1094</v>
      </c>
      <c r="K327" s="445">
        <f ca="1">IF(I327&gt;0,J327*100/I327,0)</f>
        <v>35.29032258064516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173000</v>
      </c>
      <c r="M328" s="155">
        <f t="shared" ca="1" si="149"/>
        <v>86500</v>
      </c>
      <c r="N328" s="155">
        <f t="shared" ca="1" si="149"/>
        <v>32420</v>
      </c>
      <c r="O328" s="155">
        <f t="shared" ref="O328:O336" ca="1" si="150">IF(L328&gt;0,N328*100/L328,0)</f>
        <v>18.739884393063583</v>
      </c>
      <c r="P328" s="155">
        <f t="shared" ref="P328:P336" ca="1" si="151">IF(M328&gt;0,N328*100/M328,0)</f>
        <v>37.479768786127167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173000</v>
      </c>
      <c r="M330" s="93">
        <f t="shared" ca="1" si="152"/>
        <v>86500</v>
      </c>
      <c r="N330" s="93">
        <f t="shared" ca="1" si="152"/>
        <v>32420</v>
      </c>
      <c r="O330" s="93">
        <f t="shared" ca="1" si="150"/>
        <v>18.739884393063583</v>
      </c>
      <c r="P330" s="93">
        <f t="shared" ca="1" si="151"/>
        <v>37.479768786127167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173000</v>
      </c>
      <c r="M331" s="497">
        <f t="shared" ca="1" si="153"/>
        <v>86500</v>
      </c>
      <c r="N331" s="497">
        <f t="shared" ca="1" si="153"/>
        <v>32420</v>
      </c>
      <c r="O331" s="497">
        <f t="shared" ca="1" si="150"/>
        <v>18.739884393063583</v>
      </c>
      <c r="P331" s="497">
        <f t="shared" ca="1" si="151"/>
        <v>37.479768786127167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IFERROR(__xludf.DUMMYFUNCTION("IMPORTRANGE(""https://docs.google.com/spreadsheets/d/1MeEWN-I1oV_STSDYn1IFDPWt_1FKiwhDph83XaGc0o0/edit?usp=sharing"",""งบพรบ!ER76"")"),86500)</f>
        <v>86500</v>
      </c>
      <c r="N333" s="93">
        <f ca="1">IFERROR(__xludf.DUMMYFUNCTION("IMPORTRANGE(""https://docs.google.com/spreadsheets/d/1MeEWN-I1oV_STSDYn1IFDPWt_1FKiwhDph83XaGc0o0/edit?usp=sharing"",""งบพรบ!ET76"")"),32420)</f>
        <v>32420</v>
      </c>
      <c r="O333" s="93">
        <f t="shared" ca="1" si="150"/>
        <v>18.739884393063583</v>
      </c>
      <c r="P333" s="93">
        <f t="shared" ca="1" si="151"/>
        <v>37.479768786127167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IFERROR(__xludf.DUMMYFUNCTION("IMPORTRANGE(""https://docs.google.com/spreadsheets/d/1QqKyyYR6Q21VydFLVH3TRQUabQu_ym0Zz7PgGX0-kHA/edit?usp=sharing"",""แผน!EG76"")"),3100)</f>
        <v>3100</v>
      </c>
      <c r="J338" s="269">
        <f ca="1">IFERROR(__xludf.DUMMYFUNCTION("IMPORTRANGE(""https://docs.google.com/spreadsheets/d/1kVcqe37tkHyjCSG3S0O1AXqVkqjo8mSIZil3BcpIysc/edit?usp=sharing"",""ศูนย์!D76"")"),1094)</f>
        <v>1094</v>
      </c>
      <c r="K338" s="497">
        <f ca="1">IF(I338&gt;0,J338*100/I338,0)</f>
        <v>35.29032258064516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IFERROR(__xludf.DUMMYFUNCTION("IMPORTRANGE(""https://docs.google.com/spreadsheets/d/1QqKyyYR6Q21VydFLVH3TRQUabQu_ym0Zz7PgGX0-kHA/edit?usp=sharing"",""แผน!EH76"")"),5)</f>
        <v>5</v>
      </c>
      <c r="J340" s="269">
        <f ca="1">IFERROR(__xludf.DUMMYFUNCTION("IMPORTRANGE(""https://docs.google.com/spreadsheets/d/1kVcqe37tkHyjCSG3S0O1AXqVkqjo8mSIZil3BcpIysc/edit?usp=sharing"",""ศูนย์!E76"")"),0)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768060</v>
      </c>
      <c r="M345" s="155">
        <f t="shared" ca="1" si="155"/>
        <v>485030</v>
      </c>
      <c r="N345" s="155">
        <f t="shared" ca="1" si="155"/>
        <v>289938</v>
      </c>
      <c r="O345" s="155">
        <f t="shared" ref="O345:O353" ca="1" si="156">IF(L345&gt;0,N345*100/L345,0)</f>
        <v>37.749394578548554</v>
      </c>
      <c r="P345" s="155">
        <f t="shared" ref="P345:P353" ca="1" si="157">IF(M345&gt;0,N345*100/M345,0)</f>
        <v>59.777333360823043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768060</v>
      </c>
      <c r="M347" s="93">
        <f t="shared" ca="1" si="158"/>
        <v>485030</v>
      </c>
      <c r="N347" s="93">
        <f t="shared" ca="1" si="158"/>
        <v>289938</v>
      </c>
      <c r="O347" s="93">
        <f t="shared" ca="1" si="156"/>
        <v>37.749394578548554</v>
      </c>
      <c r="P347" s="93">
        <f t="shared" ca="1" si="157"/>
        <v>59.777333360823043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566060</v>
      </c>
      <c r="M348" s="497">
        <f t="shared" ca="1" si="159"/>
        <v>283030</v>
      </c>
      <c r="N348" s="497">
        <f t="shared" ca="1" si="159"/>
        <v>87938</v>
      </c>
      <c r="O348" s="497">
        <f t="shared" ca="1" si="156"/>
        <v>15.535102285976752</v>
      </c>
      <c r="P348" s="497">
        <f t="shared" ca="1" si="157"/>
        <v>31.070204571953504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IFERROR(__xludf.DUMMYFUNCTION("IMPORTRANGE(""https://docs.google.com/spreadsheets/d/1MeEWN-I1oV_STSDYn1IFDPWt_1FKiwhDph83XaGc0o0/edit?usp=sharing"",""งบพรบ!FB76"")"),283030)</f>
        <v>283030</v>
      </c>
      <c r="N350" s="93">
        <f ca="1">IFERROR(__xludf.DUMMYFUNCTION("IMPORTRANGE(""https://docs.google.com/spreadsheets/d/1MeEWN-I1oV_STSDYn1IFDPWt_1FKiwhDph83XaGc0o0/edit?usp=sharing"",""งบพรบ!FD76"")"),87938)</f>
        <v>87938</v>
      </c>
      <c r="O350" s="93">
        <f t="shared" ca="1" si="156"/>
        <v>15.535102285976752</v>
      </c>
      <c r="P350" s="93">
        <f t="shared" ca="1" si="157"/>
        <v>31.070204571953504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202000</v>
      </c>
      <c r="M351" s="497">
        <f t="shared" ca="1" si="160"/>
        <v>202000</v>
      </c>
      <c r="N351" s="497">
        <f t="shared" ca="1" si="160"/>
        <v>202000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IFERROR(__xludf.DUMMYFUNCTION("IMPORTRANGE(""https://docs.google.com/spreadsheets/d/1QqKyyYR6Q21VydFLVH3TRQUabQu_ym0Zz7PgGX0-kHA/edit?usp=sharing"",""แผน!EP76"")"),280)</f>
        <v>280</v>
      </c>
      <c r="J355" s="464">
        <f ca="1">J362</f>
        <v>6</v>
      </c>
      <c r="K355" s="465">
        <f ca="1">IF(I355&gt;0,J355*100/I355,0)</f>
        <v>2.1428571428571428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IFERROR(__xludf.DUMMYFUNCTION("IMPORTRANGE(""https://docs.google.com/spreadsheets/d/1XWAQStnk-4SwqDmLtmXYiTMKHgktTP8We1SCoS47DrQ/edit?usp=sharing"",""จัดที่ดิน!W76"")"),105)</f>
        <v>105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IFERROR(__xludf.DUMMYFUNCTION("IMPORTRANGE(""https://docs.google.com/spreadsheets/d/1QqKyyYR6Q21VydFLVH3TRQUabQu_ym0Zz7PgGX0-kHA/edit?usp=sharing"",""แผน!EO76"")"),2500)</f>
        <v>2500</v>
      </c>
      <c r="J359" s="269">
        <f ca="1">IFERROR(__xludf.DUMMYFUNCTION("IMPORTRANGE(""https://docs.google.com/spreadsheets/d/1XWAQStnk-4SwqDmLtmXYiTMKHgktTP8We1SCoS47DrQ/edit?usp=sharing"",""จัดที่ดิน!X76"")"),986.92)</f>
        <v>986.92</v>
      </c>
      <c r="K359" s="497">
        <f t="shared" ca="1" si="161"/>
        <v>39.476799999999997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IFERROR(__xludf.DUMMYFUNCTION("IMPORTRANGE(""https://docs.google.com/spreadsheets/d/1QqKyyYR6Q21VydFLVH3TRQUabQu_ym0Zz7PgGX0-kHA/edit?usp=sharing"",""แผน!EP76"")"),280)</f>
        <v>280</v>
      </c>
      <c r="J360" s="269">
        <f ca="1">IFERROR(__xludf.DUMMYFUNCTION("IMPORTRANGE(""https://docs.google.com/spreadsheets/d/1XWAQStnk-4SwqDmLtmXYiTMKHgktTP8We1SCoS47DrQ/edit?usp=sharing"",""จัดที่ดิน!Y76"")"),76)</f>
        <v>76</v>
      </c>
      <c r="K360" s="497">
        <f t="shared" ca="1" si="161"/>
        <v>27.142857142857142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IFERROR(__xludf.DUMMYFUNCTION("IMPORTRANGE(""https://docs.google.com/spreadsheets/d/1XWAQStnk-4SwqDmLtmXYiTMKHgktTP8We1SCoS47DrQ/edit?usp=sharing"",""จัดที่ดิน!Z76"")"),640.75)</f>
        <v>640.75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IFERROR(__xludf.DUMMYFUNCTION("IMPORTRANGE(""https://docs.google.com/spreadsheets/d/1QqKyyYR6Q21VydFLVH3TRQUabQu_ym0Zz7PgGX0-kHA/edit?usp=sharing"",""แผน!EP76"")"),280)</f>
        <v>280</v>
      </c>
      <c r="J362" s="269">
        <f ca="1">IFERROR(__xludf.DUMMYFUNCTION("IMPORTRANGE(""https://docs.google.com/spreadsheets/d/1XWAQStnk-4SwqDmLtmXYiTMKHgktTP8We1SCoS47DrQ/edit?usp=sharing"",""จัดที่ดิน!AA76"")"),6)</f>
        <v>6</v>
      </c>
      <c r="K362" s="497">
        <f t="shared" ca="1" si="161"/>
        <v>2.1428571428571428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IFERROR(__xludf.DUMMYFUNCTION("IMPORTRANGE(""https://docs.google.com/spreadsheets/d/1XWAQStnk-4SwqDmLtmXYiTMKHgktTP8We1SCoS47DrQ/edit?usp=sharing"",""จัดที่ดิน!AB76"")"),52.7)</f>
        <v>52.7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670</v>
      </c>
      <c r="J364" s="478">
        <f t="shared" ca="1" si="162"/>
        <v>59</v>
      </c>
      <c r="K364" s="479">
        <f t="shared" ca="1" si="161"/>
        <v>8.8059701492537314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IFERROR(__xludf.DUMMYFUNCTION("IMPORTRANGE(""https://docs.google.com/spreadsheets/d/1QqKyyYR6Q21VydFLVH3TRQUabQu_ym0Zz7PgGX0-kHA/edit?usp=sharing"",""แผน!EJ76"")"),100)</f>
        <v>100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IFERROR(__xludf.DUMMYFUNCTION("IMPORTRANGE(""https://docs.google.com/spreadsheets/d/1XWAQStnk-4SwqDmLtmXYiTMKHgktTP8We1SCoS47DrQ/edit?usp=sharing"",""จัดที่ดิน!E76"")"),21)</f>
        <v>21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IFERROR(__xludf.DUMMYFUNCTION("IMPORTRANGE(""https://docs.google.com/spreadsheets/d/1QqKyyYR6Q21VydFLVH3TRQUabQu_ym0Zz7PgGX0-kHA/edit?usp=sharing"",""แผน!EI76"")"),1000)</f>
        <v>1000</v>
      </c>
      <c r="J369" s="269">
        <f ca="1">IFERROR(__xludf.DUMMYFUNCTION("IMPORTRANGE(""https://docs.google.com/spreadsheets/d/1XWAQStnk-4SwqDmLtmXYiTMKHgktTP8We1SCoS47DrQ/edit?usp=sharing"",""จัดที่ดิน!F76"")"),269.16)</f>
        <v>269.16000000000003</v>
      </c>
      <c r="K369" s="497">
        <f t="shared" ca="1" si="163"/>
        <v>26.916000000000004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IFERROR(__xludf.DUMMYFUNCTION("IMPORTRANGE(""https://docs.google.com/spreadsheets/d/1QqKyyYR6Q21VydFLVH3TRQUabQu_ym0Zz7PgGX0-kHA/edit?usp=sharing"",""แผน!EJ76"")"),100)</f>
        <v>100</v>
      </c>
      <c r="J370" s="269">
        <f ca="1">IFERROR(__xludf.DUMMYFUNCTION("IMPORTRANGE(""https://docs.google.com/spreadsheets/d/1XWAQStnk-4SwqDmLtmXYiTMKHgktTP8We1SCoS47DrQ/edit?usp=sharing"",""จัดที่ดิน!G76"")"),0)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IFERROR(__xludf.DUMMYFUNCTION("IMPORTRANGE(""https://docs.google.com/spreadsheets/d/1XWAQStnk-4SwqDmLtmXYiTMKHgktTP8We1SCoS47DrQ/edit?usp=sharing"",""จัดที่ดิน!H76"")"),0)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IFERROR(__xludf.DUMMYFUNCTION("IMPORTRANGE(""https://docs.google.com/spreadsheets/d/1QqKyyYR6Q21VydFLVH3TRQUabQu_ym0Zz7PgGX0-kHA/edit?usp=sharing"",""แผน!EJ76"")"),100)</f>
        <v>100</v>
      </c>
      <c r="J372" s="269">
        <f ca="1">IFERROR(__xludf.DUMMYFUNCTION("IMPORTRANGE(""https://docs.google.com/spreadsheets/d/1XWAQStnk-4SwqDmLtmXYiTMKHgktTP8We1SCoS47DrQ/edit?usp=sharing"",""จัดที่ดิน!I76"")"),0)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IFERROR(__xludf.DUMMYFUNCTION("IMPORTRANGE(""https://docs.google.com/spreadsheets/d/1XWAQStnk-4SwqDmLtmXYiTMKHgktTP8We1SCoS47DrQ/edit?usp=sharing"",""จัดที่ดิน!J76"")"),0)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IFERROR(__xludf.DUMMYFUNCTION("IMPORTRANGE(""https://docs.google.com/spreadsheets/d/1QqKyyYR6Q21VydFLVH3TRQUabQu_ym0Zz7PgGX0-kHA/edit?usp=sharing"",""แผน!EU76"")"),570)</f>
        <v>570</v>
      </c>
      <c r="J374" s="490">
        <f ca="1">J381</f>
        <v>59</v>
      </c>
      <c r="K374" s="491">
        <f t="shared" ca="1" si="163"/>
        <v>10.350877192982455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IFERROR(__xludf.DUMMYFUNCTION("IMPORTRANGE(""https://docs.google.com/spreadsheets/d/1XWAQStnk-4SwqDmLtmXYiTMKHgktTP8We1SCoS47DrQ/edit?usp=sharing"",""จัดที่ดิน!AH76"")"),84)</f>
        <v>84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IFERROR(__xludf.DUMMYFUNCTION("IMPORTRANGE(""https://docs.google.com/spreadsheets/d/1QqKyyYR6Q21VydFLVH3TRQUabQu_ym0Zz7PgGX0-kHA/edit?usp=sharing"",""แผน!ET76"")"),1500)</f>
        <v>1500</v>
      </c>
      <c r="J378" s="269">
        <f ca="1">IFERROR(__xludf.DUMMYFUNCTION("IMPORTRANGE(""https://docs.google.com/spreadsheets/d/1XWAQStnk-4SwqDmLtmXYiTMKHgktTP8We1SCoS47DrQ/edit?usp=sharing"",""จัดที่ดิน!AI76"")"),717.76)</f>
        <v>717.76</v>
      </c>
      <c r="K378" s="497">
        <f t="shared" ca="1" si="164"/>
        <v>47.850666666666669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IFERROR(__xludf.DUMMYFUNCTION("IMPORTRANGE(""https://docs.google.com/spreadsheets/d/1QqKyyYR6Q21VydFLVH3TRQUabQu_ym0Zz7PgGX0-kHA/edit?usp=sharing"",""แผน!EU76"")"),570)</f>
        <v>570</v>
      </c>
      <c r="J379" s="269">
        <f ca="1">IFERROR(__xludf.DUMMYFUNCTION("IMPORTRANGE(""https://docs.google.com/spreadsheets/d/1XWAQStnk-4SwqDmLtmXYiTMKHgktTP8We1SCoS47DrQ/edit?usp=sharing"",""จัดที่ดิน!AJ76"")"),129)</f>
        <v>129</v>
      </c>
      <c r="K379" s="497">
        <f t="shared" ca="1" si="164"/>
        <v>22.631578947368421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IFERROR(__xludf.DUMMYFUNCTION("IMPORTRANGE(""https://docs.google.com/spreadsheets/d/1XWAQStnk-4SwqDmLtmXYiTMKHgktTP8We1SCoS47DrQ/edit?usp=sharing"",""จัดที่ดิน!AK76"")"),1577.77)</f>
        <v>1577.77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IFERROR(__xludf.DUMMYFUNCTION("IMPORTRANGE(""https://docs.google.com/spreadsheets/d/1QqKyyYR6Q21VydFLVH3TRQUabQu_ym0Zz7PgGX0-kHA/edit?usp=sharing"",""แผน!EU76"")"),570)</f>
        <v>570</v>
      </c>
      <c r="J381" s="269">
        <f ca="1">IFERROR(__xludf.DUMMYFUNCTION("IMPORTRANGE(""https://docs.google.com/spreadsheets/d/1XWAQStnk-4SwqDmLtmXYiTMKHgktTP8We1SCoS47DrQ/edit?usp=sharing"",""จัดที่ดิน!AL76"")"),59)</f>
        <v>59</v>
      </c>
      <c r="K381" s="497">
        <f t="shared" ca="1" si="164"/>
        <v>10.350877192982455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IFERROR(__xludf.DUMMYFUNCTION("IMPORTRANGE(""https://docs.google.com/spreadsheets/d/1XWAQStnk-4SwqDmLtmXYiTMKHgktTP8We1SCoS47DrQ/edit?usp=sharing"",""จัดที่ดิน!AM76"")"),989.72)</f>
        <v>989.72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IFERROR(__xludf.DUMMYFUNCTION("IMPORTRANGE(""https://docs.google.com/spreadsheets/d/1QqKyyYR6Q21VydFLVH3TRQUabQu_ym0Zz7PgGX0-kHA/edit?usp=sharing"",""แผน!EW76"")"),35)</f>
        <v>35</v>
      </c>
      <c r="J385" s="500">
        <f ca="1">IFERROR(__xludf.DUMMYFUNCTION("IMPORTRANGE(""https://docs.google.com/spreadsheets/d/1XWAQStnk-4SwqDmLtmXYiTMKHgktTP8We1SCoS47DrQ/edit?usp=sharing"",""จัดที่ดิน!AP76"")"),0)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1855296</v>
      </c>
      <c r="M414" s="548">
        <f t="shared" si="181"/>
        <v>0</v>
      </c>
      <c r="N414" s="548">
        <f t="shared" si="181"/>
        <v>597003</v>
      </c>
      <c r="O414" s="548">
        <f ca="1">IF(L414&gt;0,N414*100/L414,0)</f>
        <v>32.178315481734451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78760</v>
      </c>
      <c r="M419" s="155">
        <f t="shared" si="184"/>
        <v>0</v>
      </c>
      <c r="N419" s="155">
        <f t="shared" si="184"/>
        <v>28060</v>
      </c>
      <c r="O419" s="155">
        <f t="shared" ref="O419:O424" ca="1" si="185">IF(L419&gt;0,N419*100/L419,0)</f>
        <v>35.627221940071102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78760</v>
      </c>
      <c r="M421" s="93">
        <f t="shared" si="187"/>
        <v>0</v>
      </c>
      <c r="N421" s="93">
        <f t="shared" si="187"/>
        <v>28060</v>
      </c>
      <c r="O421" s="93">
        <f t="shared" ca="1" si="185"/>
        <v>35.627221940071102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78760</v>
      </c>
      <c r="M422" s="497">
        <f t="shared" si="188"/>
        <v>0</v>
      </c>
      <c r="N422" s="497">
        <f t="shared" si="188"/>
        <v>28060</v>
      </c>
      <c r="O422" s="497">
        <f t="shared" ca="1" si="185"/>
        <v>35.627221940071102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v>0</v>
      </c>
      <c r="N424" s="93">
        <f>N425+N426+N427+N428</f>
        <v>28060</v>
      </c>
      <c r="O424" s="93">
        <f t="shared" ca="1" si="185"/>
        <v>35.627221940071102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28060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/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IFERROR(__xludf.DUMMYFUNCTION("IMPORTRANGE(""https://docs.google.com/spreadsheets/d/1QqKyyYR6Q21VydFLVH3TRQUabQu_ym0Zz7PgGX0-kHA/edit?usp=sharing"",""แผน!FC76"")"),20)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IFERROR(__xludf.DUMMYFUNCTION("IMPORTRANGE(""https://docs.google.com/spreadsheets/d/1QqKyyYR6Q21VydFLVH3TRQUabQu_ym0Zz7PgGX0-kHA/edit?usp=sharing"",""แผน!FD76"")"),0)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IFERROR(__xludf.DUMMYFUNCTION("IMPORTRANGE(""https://docs.google.com/spreadsheets/d/1QqKyyYR6Q21VydFLVH3TRQUabQu_ym0Zz7PgGX0-kHA/edit?usp=sharing"",""แผน!FE76"")"),0)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IFERROR(__xludf.DUMMYFUNCTION("IMPORTRANGE(""https://docs.google.com/spreadsheets/d/1QqKyyYR6Q21VydFLVH3TRQUabQu_ym0Zz7PgGX0-kHA/edit?usp=sharing"",""แผน!FF76"")"),20)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IFERROR(__xludf.DUMMYFUNCTION("IMPORTRANGE(""https://docs.google.com/spreadsheets/d/1QqKyyYR6Q21VydFLVH3TRQUabQu_ym0Zz7PgGX0-kHA/edit?usp=sharing"",""แผน!FG76"")"),1)</f>
        <v>1</v>
      </c>
      <c r="J440" s="214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IFERROR(__xludf.DUMMYFUNCTION("IMPORTRANGE(""https://docs.google.com/spreadsheets/d/1QqKyyYR6Q21VydFLVH3TRQUabQu_ym0Zz7PgGX0-kHA/edit?usp=sharing"",""แผน!FH76"")"),0)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45</v>
      </c>
      <c r="J442" s="584">
        <f t="shared" si="195"/>
        <v>20</v>
      </c>
      <c r="K442" s="585">
        <f t="shared" ca="1" si="194"/>
        <v>44.444444444444443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200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428280</v>
      </c>
      <c r="M444" s="195">
        <f t="shared" si="197"/>
        <v>0</v>
      </c>
      <c r="N444" s="195">
        <f t="shared" si="197"/>
        <v>39420</v>
      </c>
      <c r="O444" s="195">
        <f t="shared" ref="O444:O449" ca="1" si="198">IF(L444&gt;0,N444*100/L444,0)</f>
        <v>9.2042588960493141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428280</v>
      </c>
      <c r="M446" s="93">
        <f t="shared" si="200"/>
        <v>0</v>
      </c>
      <c r="N446" s="93">
        <f t="shared" si="200"/>
        <v>39420</v>
      </c>
      <c r="O446" s="93">
        <f t="shared" ca="1" si="198"/>
        <v>9.2042588960493141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428280</v>
      </c>
      <c r="M447" s="497">
        <f t="shared" si="201"/>
        <v>0</v>
      </c>
      <c r="N447" s="497">
        <f t="shared" si="201"/>
        <v>39420</v>
      </c>
      <c r="O447" s="497">
        <f t="shared" ca="1" si="198"/>
        <v>9.2042588960493141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v>0</v>
      </c>
      <c r="N449" s="93">
        <f>N450+N451+N452+N453</f>
        <v>39420</v>
      </c>
      <c r="O449" s="93">
        <f t="shared" ca="1" si="198"/>
        <v>9.2042588960493141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f>5060+5000</f>
        <v>10060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/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26000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3360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IFERROR(__xludf.DUMMYFUNCTION("IMPORTRANGE(""https://docs.google.com/spreadsheets/d/1QqKyyYR6Q21VydFLVH3TRQUabQu_ym0Zz7PgGX0-kHA/edit?usp=sharing"",""แผน!FN76"")"),45)</f>
        <v>45</v>
      </c>
      <c r="J460" s="214">
        <v>20</v>
      </c>
      <c r="K460" s="497">
        <f ca="1">IF(I460&gt;0,J460*100/I460,0)</f>
        <v>44.444444444444443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IFERROR(__xludf.DUMMYFUNCTION("IMPORTRANGE(""https://docs.google.com/spreadsheets/d/1QqKyyYR6Q21VydFLVH3TRQUabQu_ym0Zz7PgGX0-kHA/edit?usp=sharing"",""แผน!FO76"")"),200)</f>
        <v>200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IFERROR(__xludf.DUMMYFUNCTION("IMPORTRANGE(""https://docs.google.com/spreadsheets/d/1QqKyyYR6Q21VydFLVH3TRQUabQu_ym0Zz7PgGX0-kHA/edit?usp=sharing"",""แผน!FO76"")"),200)</f>
        <v>200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IFERROR(__xludf.DUMMYFUNCTION("IMPORTRANGE(""https://docs.google.com/spreadsheets/d/1QqKyyYR6Q21VydFLVH3TRQUabQu_ym0Zz7PgGX0-kHA/edit?usp=sharing"",""แผน!FN76"")"),45)</f>
        <v>45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IFERROR(__xludf.DUMMYFUNCTION("IMPORTRANGE(""https://docs.google.com/spreadsheets/d/1QqKyyYR6Q21VydFLVH3TRQUabQu_ym0Zz7PgGX0-kHA/edit?usp=sharing"",""แผน!FX76"")"),51)</f>
        <v>51</v>
      </c>
      <c r="J465" s="584">
        <f>J485+J489+J492</f>
        <v>51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IFERROR(__xludf.DUMMYFUNCTION("IMPORTRANGE(""https://docs.google.com/spreadsheets/d/1QqKyyYR6Q21VydFLVH3TRQUabQu_ym0Zz7PgGX0-kHA/edit?usp=sharing"",""แผน!FW76"")"),500)</f>
        <v>500</v>
      </c>
      <c r="J466" s="564">
        <f>J483+J487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403983</v>
      </c>
      <c r="M467" s="195">
        <f t="shared" si="206"/>
        <v>0</v>
      </c>
      <c r="N467" s="195">
        <f t="shared" si="206"/>
        <v>382863</v>
      </c>
      <c r="O467" s="195">
        <f t="shared" ref="O467:O472" ca="1" si="207">IF(L467&gt;0,N467*100/L467,0)</f>
        <v>94.772057240032382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403983</v>
      </c>
      <c r="M469" s="93">
        <f t="shared" si="209"/>
        <v>0</v>
      </c>
      <c r="N469" s="93">
        <f t="shared" si="209"/>
        <v>382863</v>
      </c>
      <c r="O469" s="93">
        <f t="shared" ca="1" si="207"/>
        <v>94.772057240032382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403983</v>
      </c>
      <c r="M470" s="497">
        <f t="shared" si="210"/>
        <v>0</v>
      </c>
      <c r="N470" s="497">
        <f t="shared" si="210"/>
        <v>382863</v>
      </c>
      <c r="O470" s="497">
        <f t="shared" ca="1" si="207"/>
        <v>94.772057240032382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IFERROR(__xludf.DUMMYFUNCTION("IMPORTRANGE(""https://docs.google.com/spreadsheets/d/1QqKyyYR6Q21VydFLVH3TRQUabQu_ym0Zz7PgGX0-kHA/edit?usp=sharing"",""แผน!FS76"")"),403983)</f>
        <v>403983</v>
      </c>
      <c r="M472" s="93">
        <v>0</v>
      </c>
      <c r="N472" s="93">
        <f>N473+N474+N475+N476</f>
        <v>382863</v>
      </c>
      <c r="O472" s="93">
        <f t="shared" ca="1" si="207"/>
        <v>94.772057240032382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66583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f>4000+310000</f>
        <v>314000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f>1800+480</f>
        <v>2280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IFERROR(__xludf.DUMMYFUNCTION("IMPORTRANGE(""https://docs.google.com/spreadsheets/d/1QqKyyYR6Q21VydFLVH3TRQUabQu_ym0Zz7PgGX0-kHA/edit?usp=sharing"",""แผน!FY76"")"),450)</f>
        <v>450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45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IFERROR(__xludf.DUMMYFUNCTION("IMPORTRANGE(""https://docs.google.com/spreadsheets/d/1QqKyyYR6Q21VydFLVH3TRQUabQu_ym0Zz7PgGX0-kHA/edit?usp=sharing"",""แผน!FZ76"")"),45)</f>
        <v>45</v>
      </c>
      <c r="J485" s="214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IFERROR(__xludf.DUMMYFUNCTION("IMPORTRANGE(""https://docs.google.com/spreadsheets/d/1QqKyyYR6Q21VydFLVH3TRQUabQu_ym0Zz7PgGX0-kHA/edit?usp=sharing"",""แผน!GA76"")"),50)</f>
        <v>50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IFERROR(__xludf.DUMMYFUNCTION("IMPORTRANGE(""https://docs.google.com/spreadsheets/d/1QqKyyYR6Q21VydFLVH3TRQUabQu_ym0Zz7PgGX0-kHA/edit?usp=sharing"",""แผน!GB76"")"),5)</f>
        <v>5</v>
      </c>
      <c r="J489" s="214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IFERROR(__xludf.DUMMYFUNCTION("IMPORTRANGE(""https://docs.google.com/spreadsheets/d/1QqKyyYR6Q21VydFLVH3TRQUabQu_ym0Zz7PgGX0-kHA/edit?usp=sharing"",""แผน!GC76"")"),1)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IFERROR(__xludf.DUMMYFUNCTION("IMPORTRANGE(""https://docs.google.com/spreadsheets/d/1QqKyyYR6Q21VydFLVH3TRQUabQu_ym0Zz7PgGX0-kHA/edit?usp=sharing"",""แผน!FY76"")"),450)</f>
        <v>450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IFERROR(__xludf.DUMMYFUNCTION("IMPORTRANGE(""https://docs.google.com/spreadsheets/d/1QqKyyYR6Q21VydFLVH3TRQUabQu_ym0Zz7PgGX0-kHA/edit?usp=sharing"",""แผน!GA76"")"),50)</f>
        <v>50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50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440560</v>
      </c>
      <c r="M523" s="195">
        <f t="shared" si="226"/>
        <v>0</v>
      </c>
      <c r="N523" s="195">
        <f t="shared" si="226"/>
        <v>107160</v>
      </c>
      <c r="O523" s="195">
        <f t="shared" ref="O523:O528" ca="1" si="227">IF(L523&gt;0,N523*100/L523,0)</f>
        <v>24.32358816052297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440560</v>
      </c>
      <c r="M525" s="93">
        <f t="shared" si="229"/>
        <v>0</v>
      </c>
      <c r="N525" s="93">
        <f t="shared" si="229"/>
        <v>107160</v>
      </c>
      <c r="O525" s="93">
        <f t="shared" ca="1" si="227"/>
        <v>24.32358816052297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440560</v>
      </c>
      <c r="M526" s="497">
        <f t="shared" si="230"/>
        <v>0</v>
      </c>
      <c r="N526" s="497">
        <f t="shared" si="230"/>
        <v>107160</v>
      </c>
      <c r="O526" s="497">
        <f t="shared" ca="1" si="227"/>
        <v>24.32358816052297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v>0</v>
      </c>
      <c r="N528" s="93">
        <f>N529+N530+N531+N532</f>
        <v>107160</v>
      </c>
      <c r="O528" s="93">
        <f t="shared" ca="1" si="227"/>
        <v>24.32358816052297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98760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f>8400</f>
        <v>8400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IFERROR(__xludf.DUMMYFUNCTION("IMPORTRANGE(""https://docs.google.com/spreadsheets/d/1QqKyyYR6Q21VydFLVH3TRQUabQu_ym0Zz7PgGX0-kHA/edit?usp=sharing"",""แผน!GU76"")"),50)</f>
        <v>50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IFERROR(__xludf.DUMMYFUNCTION("IMPORTRANGE(""https://docs.google.com/spreadsheets/d/1QqKyyYR6Q21VydFLVH3TRQUabQu_ym0Zz7PgGX0-kHA/edit?usp=sharing"",""แผน!GV76"")"),50)</f>
        <v>50</v>
      </c>
      <c r="J538" s="214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IFERROR(__xludf.DUMMYFUNCTION("IMPORTRANGE(""https://docs.google.com/spreadsheets/d/1QqKyyYR6Q21VydFLVH3TRQUabQu_ym0Zz7PgGX0-kHA/edit?usp=sharing"",""แผน!GW76"")"),50)</f>
        <v>50</v>
      </c>
      <c r="J539" s="214">
        <v>50</v>
      </c>
      <c r="K539" s="497">
        <f t="shared" ca="1" si="234"/>
        <v>100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IFERROR(__xludf.DUMMYFUNCTION("IMPORTRANGE(""https://docs.google.com/spreadsheets/d/1QqKyyYR6Q21VydFLVH3TRQUabQu_ym0Zz7PgGX0-kHA/edit?usp=sharing"",""แผน!GX76"")"),50)</f>
        <v>50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IFERROR(__xludf.DUMMYFUNCTION("IMPORTRANGE(""https://docs.google.com/spreadsheets/d/1QqKyyYR6Q21VydFLVH3TRQUabQu_ym0Zz7PgGX0-kHA/edit?usp=sharing"",""แผน!GY76"")"),0)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IFERROR(__xludf.DUMMYFUNCTION("IMPORTRANGE(""https://docs.google.com/spreadsheets/d/1QqKyyYR6Q21VydFLVH3TRQUabQu_ym0Zz7PgGX0-kHA/edit?usp=sharing"",""แผน!GZ76"")"),50)</f>
        <v>50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72063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503713</v>
      </c>
      <c r="M544" s="155">
        <f t="shared" si="236"/>
        <v>0</v>
      </c>
      <c r="N544" s="155">
        <f t="shared" si="236"/>
        <v>39500</v>
      </c>
      <c r="O544" s="155">
        <f t="shared" ref="O544:O549" ca="1" si="237">IF(L544&gt;0,N544*100/L544,0)</f>
        <v>7.8417670379759903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503713</v>
      </c>
      <c r="M546" s="93">
        <f t="shared" si="240"/>
        <v>0</v>
      </c>
      <c r="N546" s="93">
        <f t="shared" si="240"/>
        <v>39500</v>
      </c>
      <c r="O546" s="93">
        <f t="shared" ca="1" si="237"/>
        <v>7.8417670379759903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503713</v>
      </c>
      <c r="M547" s="497">
        <f t="shared" si="241"/>
        <v>0</v>
      </c>
      <c r="N547" s="497">
        <f t="shared" si="241"/>
        <v>39500</v>
      </c>
      <c r="O547" s="497">
        <f t="shared" ca="1" si="237"/>
        <v>7.8417670379759903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IFERROR(__xludf.DUMMYFUNCTION("IMPORTRANGE(""https://docs.google.com/spreadsheets/d/1QqKyyYR6Q21VydFLVH3TRQUabQu_ym0Zz7PgGX0-kHA/edit?usp=sharing"",""แผน!HB76"")"),503713)</f>
        <v>503713</v>
      </c>
      <c r="M549" s="93">
        <v>0</v>
      </c>
      <c r="N549" s="93">
        <f>N550+N551+N552+N553+N554</f>
        <v>39500</v>
      </c>
      <c r="O549" s="93">
        <f t="shared" ca="1" si="237"/>
        <v>7.8417670379759903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26000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f>6000+5200+2300</f>
        <v>13500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72063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6027.4299999999994</v>
      </c>
      <c r="K560" s="411">
        <f t="shared" ca="1" si="246"/>
        <v>8.3641119575926606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724.56999999999994</v>
      </c>
      <c r="K561" s="411">
        <f t="shared" ca="1" si="246"/>
        <v>12.285011868429976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5751.94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555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260.49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23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15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146.57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5500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IFERROR(__xludf.DUMMYFUNCTION("IMPORTRANGE(""https://docs.google.com/spreadsheets/d/1QqKyyYR6Q21VydFLVH3TRQUabQu_ym0Zz7PgGX0-kHA/edit?usp=sharing"",""แผน!HJ76"")"),5500)</f>
        <v>5500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IFERROR(__xludf.DUMMYFUNCTION("IMPORTRANGE(""https://docs.google.com/spreadsheets/d/1QqKyyYR6Q21VydFLVH3TRQUabQu_ym0Zz7PgGX0-kHA/edit?usp=sharing"",""แผน!HI76"")"),540)</f>
        <v>540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IFERROR(__xludf.DUMMYFUNCTION("IMPORTRANGE(""https://docs.google.com/spreadsheets/d/1QqKyyYR6Q21VydFLVH3TRQUabQu_ym0Zz7PgGX0-kHA/edit?usp=sharing"",""แผน!HL76"")"),0)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IFERROR(__xludf.DUMMYFUNCTION("IMPORTRANGE(""https://docs.google.com/spreadsheets/d/1QqKyyYR6Q21VydFLVH3TRQUabQu_ym0Zz7PgGX0-kHA/edit?usp=sharing"",""แผน!HK76"")"),0)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IFERROR(__xludf.DUMMYFUNCTION("IMPORTRANGE(""https://docs.google.com/spreadsheets/d/1QqKyyYR6Q21VydFLVH3TRQUabQu_ym0Zz7PgGX0-kHA/edit?usp=sharing"",""แผน!HR76"")"),0)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IFERROR(__xludf.DUMMYFUNCTION("IMPORTRANGE(""https://docs.google.com/spreadsheets/d/1QqKyyYR6Q21VydFLVH3TRQUabQu_ym0Zz7PgGX0-kHA/edit?usp=sharing"",""แผน!HR76"")"),0)</f>
        <v>0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IFERROR(__xludf.DUMMYFUNCTION("IMPORTRANGE(""https://docs.google.com/spreadsheets/d/1XWAQStnk-4SwqDmLtmXYiTMKHgktTP8We1SCoS47DrQ/edit?usp=sharing"",""จัดที่ดิน!AT76"")"),0)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IFERROR(__xludf.DUMMYFUNCTION("IMPORTRANGE(""https://docs.google.com/spreadsheets/d/1QqKyyYR6Q21VydFLVH3TRQUabQu_ym0Zz7PgGX0-kHA/edit?usp=sharing"",""แผน!HS76"")"),0)</f>
        <v>0</v>
      </c>
      <c r="J647" s="269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IFERROR(__xludf.DUMMYFUNCTION("IMPORTRANGE(""https://docs.google.com/spreadsheets/d/1XWAQStnk-4SwqDmLtmXYiTMKHgktTP8We1SCoS47DrQ/edit?usp=sharing"",""จัดที่ดิน!AV76"")"),0)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IFERROR(__xludf.DUMMYFUNCTION("IMPORTRANGE(""https://docs.google.com/spreadsheets/d/1QqKyyYR6Q21VydFLVH3TRQUabQu_ym0Zz7PgGX0-kHA/edit?usp=sharing"",""แผน!HS76"")"),0)</f>
        <v>0</v>
      </c>
      <c r="J649" s="269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IFERROR(__xludf.DUMMYFUNCTION("IMPORTRANGE(""https://docs.google.com/spreadsheets/d/1QqKyyYR6Q21VydFLVH3TRQUabQu_ym0Zz7PgGX0-kHA/edit?usp=sharing"",""แผน!HS76"")"),0)</f>
        <v>0</v>
      </c>
      <c r="J651" s="269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IFERROR(__xludf.DUMMYFUNCTION("IMPORTRANGE(""https://docs.google.com/spreadsheets/d/1XWAQStnk-4SwqDmLtmXYiTMKHgktTP8We1SCoS47DrQ/edit?usp=sharing"",""จัดที่ดิน!AZ76"")"),0)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IFERROR(__xludf.DUMMYFUNCTION("IMPORTRANGE(""https://docs.google.com/spreadsheets/d/1QqKyyYR6Q21VydFLVH3TRQUabQu_ym0Zz7PgGX0-kHA/edit?usp=sharing"",""แผน!IA76"")"),0)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IFERROR(__xludf.DUMMYFUNCTION("IMPORTRANGE(""https://docs.google.com/spreadsheets/d/1QqKyyYR6Q21VydFLVH3TRQUabQu_ym0Zz7PgGX0-kHA/edit?usp=sharing"",""แผน!HZ76"")"),0)</f>
        <v>0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IFERROR(__xludf.DUMMYFUNCTION("IMPORTRANGE(""https://docs.google.com/spreadsheets/d/1QqKyyYR6Q21VydFLVH3TRQUabQu_ym0Zz7PgGX0-kHA/edit?usp=sharing"",""แผน!HZ76"")"),0)</f>
        <v>0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IFERROR(__xludf.DUMMYFUNCTION("IMPORTRANGE(""https://docs.google.com/spreadsheets/d/1QqKyyYR6Q21VydFLVH3TRQUabQu_ym0Zz7PgGX0-kHA/edit?usp=sharing"",""แผน!IB76"")"),0)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IFERROR(__xludf.DUMMYFUNCTION("IMPORTRANGE(""https://docs.google.com/spreadsheets/d/1QqKyyYR6Q21VydFLVH3TRQUabQu_ym0Zz7PgGX0-kHA/edit?usp=sharing"",""แผน!IC76"")"),0)</f>
        <v>0</v>
      </c>
      <c r="J699" s="269">
        <f ca="1">IFERROR(__xludf.DUMMYFUNCTION("IMPORTRANGE(""https://docs.google.com/spreadsheets/d/1XWAQStnk-4SwqDmLtmXYiTMKHgktTP8We1SCoS47DrQ/edit?usp=sharing"",""จัดที่ดิน!BB76"")"),0)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IFERROR(__xludf.DUMMYFUNCTION("IMPORTRANGE(""https://docs.google.com/spreadsheets/d/1QqKyyYR6Q21VydFLVH3TRQUabQu_ym0Zz7PgGX0-kHA/edit?usp=sharing"",""แผน!ID76"")"),0)</f>
        <v>0</v>
      </c>
      <c r="J700" s="269">
        <f ca="1">IFERROR(__xludf.DUMMYFUNCTION("IMPORTRANGE(""https://docs.google.com/spreadsheets/d/1XWAQStnk-4SwqDmLtmXYiTMKHgktTP8We1SCoS47DrQ/edit?usp=sharing"",""จัดที่ดิน!BD76"")"),0)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IFERROR(__xludf.DUMMYFUNCTION("IMPORTRANGE(""https://docs.google.com/spreadsheets/d/1QqKyyYR6Q21VydFLVH3TRQUabQu_ym0Zz7PgGX0-kHA/edit?usp=sharing"",""แผน!IE76"")"),0)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IFERROR(__xludf.DUMMYFUNCTION("IMPORTRANGE(""https://docs.google.com/spreadsheets/d/1QqKyyYR6Q21VydFLVH3TRQUabQu_ym0Zz7PgGX0-kHA/edit?usp=sharing"",""แผน!IF76"")"),0)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IFERROR(__xludf.DUMMYFUNCTION("IMPORTRANGE(""https://docs.google.com/spreadsheets/d/1QqKyyYR6Q21VydFLVH3TRQUabQu_ym0Zz7PgGX0-kHA/edit?usp=sharing"",""แผน!IG76"")"),0)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IFERROR(__xludf.DUMMYFUNCTION("IMPORTRANGE(""https://docs.google.com/spreadsheets/d/1QqKyyYR6Q21VydFLVH3TRQUabQu_ym0Zz7PgGX0-kHA/edit?usp=sharing"",""แผน!IH76"")"),0)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IFERROR(__xludf.DUMMYFUNCTION("IMPORTRANGE(""https://docs.google.com/spreadsheets/d/1XWAQStnk-4SwqDmLtmXYiTMKHgktTP8We1SCoS47DrQ/edit?usp=sharing"",""จัดที่ดิน!BF76"")"),0)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IFERROR(__xludf.DUMMYFUNCTION("IMPORTRANGE(""https://docs.google.com/spreadsheets/d/1XWAQStnk-4SwqDmLtmXYiTMKHgktTP8We1SCoS47DrQ/edit?usp=sharing"",""จัดที่ดิน!BG76"")"),0)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IFERROR(__xludf.DUMMYFUNCTION("IMPORTRANGE(""https://docs.google.com/spreadsheets/d/1QqKyyYR6Q21VydFLVH3TRQUabQu_ym0Zz7PgGX0-kHA/edit?usp=sharing"",""แผน!II76"")"),0)</f>
        <v>0</v>
      </c>
      <c r="J720" s="269">
        <f ca="1">IFERROR(__xludf.DUMMYFUNCTION("IMPORTRANGE(""https://docs.google.com/spreadsheets/d/1XWAQStnk-4SwqDmLtmXYiTMKHgktTP8We1SCoS47DrQ/edit?usp=sharing"",""จัดที่ดิน!BH76"")"),0)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IFERROR(__xludf.DUMMYFUNCTION("IMPORTRANGE(""https://docs.google.com/spreadsheets/d/1QqKyyYR6Q21VydFLVH3TRQUabQu_ym0Zz7PgGX0-kHA/edit?usp=sharing"",""แผน!IJ76"")"),0)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IFERROR(__xludf.DUMMYFUNCTION("IMPORTRANGE(""https://docs.google.com/spreadsheets/d/1QqKyyYR6Q21VydFLVH3TRQUabQu_ym0Zz7PgGX0-kHA/edit?usp=sharing"",""แผน!IK76"")"),0)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IFERROR(__xludf.DUMMYFUNCTION("IMPORTRANGE(""https://docs.google.com/spreadsheets/d/1QqKyyYR6Q21VydFLVH3TRQUabQu_ym0Zz7PgGX0-kHA/edit?usp=sharing"",""แผน!IL76"")"),0)</f>
        <v>0</v>
      </c>
      <c r="J723" s="269">
        <f ca="1">IFERROR(__xludf.DUMMYFUNCTION("IMPORTRANGE(""https://docs.google.com/spreadsheets/d/1XWAQStnk-4SwqDmLtmXYiTMKHgktTP8We1SCoS47DrQ/edit?usp=sharing"",""จัดที่ดิน!BM76"")"),0)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IFERROR(__xludf.DUMMYFUNCTION("IMPORTRANGE(""https://docs.google.com/spreadsheets/d/1XWAQStnk-4SwqDmLtmXYiTMKHgktTP8We1SCoS47DrQ/edit?usp=sharing"",""จัดที่ดิน!BN76"")"),0)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IFERROR(__xludf.DUMMYFUNCTION("IMPORTRANGE(""https://docs.google.com/spreadsheets/d/1QqKyyYR6Q21VydFLVH3TRQUabQu_ym0Zz7PgGX0-kHA/edit?usp=sharing"",""แผน!IM76"")"),0)</f>
        <v>0</v>
      </c>
      <c r="J725" s="269">
        <f ca="1">IFERROR(__xludf.DUMMYFUNCTION("IMPORTRANGE(""https://docs.google.com/spreadsheets/d/1XWAQStnk-4SwqDmLtmXYiTMKHgktTP8We1SCoS47DrQ/edit?usp=sharing"",""จัดที่ดิน!BO76"")"),0)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IFERROR(__xludf.DUMMYFUNCTION("IMPORTRANGE(""https://docs.google.com/spreadsheets/d/1QqKyyYR6Q21VydFLVH3TRQUabQu_ym0Zz7PgGX0-kHA/edit?usp=sharing"",""แผน!IN76"")"),0)</f>
        <v>0</v>
      </c>
      <c r="J726" s="269">
        <f ca="1">IFERROR(__xludf.DUMMYFUNCTION("IMPORTRANGE(""https://docs.google.com/spreadsheets/d/1XWAQStnk-4SwqDmLtmXYiTMKHgktTP8We1SCoS47DrQ/edit?usp=sharing"",""จัดที่ดิน!BR76"")"),0)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IFERROR(__xludf.DUMMYFUNCTION("IMPORTRANGE(""https://docs.google.com/spreadsheets/d/1XWAQStnk-4SwqDmLtmXYiTMKHgktTP8We1SCoS47DrQ/edit?usp=sharing"",""จัดที่ดิน!BS76"")"),0)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IFERROR(__xludf.DUMMYFUNCTION("IMPORTRANGE(""https://docs.google.com/spreadsheets/d/1QqKyyYR6Q21VydFLVH3TRQUabQu_ym0Zz7PgGX0-kHA/edit?usp=sharing"",""แผน!IO76"")"),0)</f>
        <v>0</v>
      </c>
      <c r="J728" s="269">
        <f ca="1">IFERROR(__xludf.DUMMYFUNCTION("IMPORTRANGE(""https://docs.google.com/spreadsheets/d/1XWAQStnk-4SwqDmLtmXYiTMKHgktTP8We1SCoS47DrQ/edit?usp=sharing"",""จัดที่ดิน!BT76"")"),0)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IFERROR(__xludf.DUMMYFUNCTION("IMPORTRANGE(""https://docs.google.com/spreadsheets/d/1QqKyyYR6Q21VydFLVH3TRQUabQu_ym0Zz7PgGX0-kHA/edit?usp=sharing"",""แผน!IP76"")"),0)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IFERROR(__xludf.DUMMYFUNCTION("IMPORTRANGE(""https://docs.google.com/spreadsheets/d/1MaWodYyGHDf7siQLGxnXhG4mBNTNIuy296niS2xXulU/edit?usp=sharing"",""RTK!I76"")"),0)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334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69">
        <f ca="1">IFERROR(__xludf.DUMMYFUNCTION("IMPORTRANGE(""https://docs.google.com/spreadsheets/d/19vJNZY_5yjcGF2XGBMNZRCAIB0Kwfpjp8YEOfu-bneM/edit?usp=sharing"",""งานกองทุน!F76"")"),0)</f>
        <v>0</v>
      </c>
      <c r="K821" s="497">
        <f t="shared" ref="K821:K828" ca="1" si="335">IF(I821&gt;0,J821*100/I821,0)</f>
        <v>0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IFERROR(__xludf.DUMMYFUNCTION("IMPORTRANGE(""https://docs.google.com/spreadsheets/d/19vJNZY_5yjcGF2XGBMNZRCAIB0Kwfpjp8YEOfu-bneM/edit?usp=sharing"",""งานกองทุน!C76"")"),113)</f>
        <v>113</v>
      </c>
      <c r="J822" s="269">
        <f ca="1">IFERROR(__xludf.DUMMYFUNCTION("IMPORTRANGE(""https://docs.google.com/spreadsheets/d/19vJNZY_5yjcGF2XGBMNZRCAIB0Kwfpjp8YEOfu-bneM/edit?usp=sharing"",""งานกองทุน!E76"")"),0)</f>
        <v>0</v>
      </c>
      <c r="K822" s="497">
        <f t="shared" ca="1" si="335"/>
        <v>0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69">
        <f ca="1">IFERROR(__xludf.DUMMYFUNCTION("IMPORTRANGE(""https://docs.google.com/spreadsheets/d/19vJNZY_5yjcGF2XGBMNZRCAIB0Kwfpjp8YEOfu-bneM/edit?usp=sharing"",""งานกองทุน!K76"")"),39734.25)</f>
        <v>39734.25</v>
      </c>
      <c r="K823" s="497">
        <f t="shared" ca="1" si="335"/>
        <v>8.7159868562148262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IFERROR(__xludf.DUMMYFUNCTION("IMPORTRANGE(""https://docs.google.com/spreadsheets/d/19vJNZY_5yjcGF2XGBMNZRCAIB0Kwfpjp8YEOfu-bneM/edit?usp=sharing"",""งานกองทุน!H76"")"),19)</f>
        <v>19</v>
      </c>
      <c r="J824" s="269">
        <f ca="1">IFERROR(__xludf.DUMMYFUNCTION("IMPORTRANGE(""https://docs.google.com/spreadsheets/d/19vJNZY_5yjcGF2XGBMNZRCAIB0Kwfpjp8YEOfu-bneM/edit?usp=sharing"",""งานกองทุน!J76"")"),6)</f>
        <v>6</v>
      </c>
      <c r="K824" s="497">
        <f t="shared" ca="1" si="335"/>
        <v>31.578947368421051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IFERROR(__xludf.DUMMYFUNCTION("IMPORTRANGE(""https://docs.google.com/spreadsheets/d/19vJNZY_5yjcGF2XGBMNZRCAIB0Kwfpjp8YEOfu-bneM/edit?usp=sharing"",""งานกองทุน!N76"")"),0)</f>
        <v>0</v>
      </c>
      <c r="J825" s="269">
        <f ca="1">IFERROR(__xludf.DUMMYFUNCTION("IMPORTRANGE(""https://docs.google.com/spreadsheets/d/19vJNZY_5yjcGF2XGBMNZRCAIB0Kwfpjp8YEOfu-bneM/edit?usp=sharing"",""งานกองทุน!P76"")"),0)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IFERROR(__xludf.DUMMYFUNCTION("IMPORTRANGE(""https://docs.google.com/spreadsheets/d/19vJNZY_5yjcGF2XGBMNZRCAIB0Kwfpjp8YEOfu-bneM/edit?usp=sharing"",""งานกองทุน!M76"")"),0)</f>
        <v>0</v>
      </c>
      <c r="J826" s="269">
        <f ca="1">IFERROR(__xludf.DUMMYFUNCTION("IMPORTRANGE(""https://docs.google.com/spreadsheets/d/19vJNZY_5yjcGF2XGBMNZRCAIB0Kwfpjp8YEOfu-bneM/edit?usp=sharing"",""งานกองทุน!O76"")"),0)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IFERROR(__xludf.DUMMYFUNCTION("IMPORTRANGE(""https://docs.google.com/spreadsheets/d/19vJNZY_5yjcGF2XGBMNZRCAIB0Kwfpjp8YEOfu-bneM/edit?usp=sharing"",""งานกองทุน!S76"")"),1050000)</f>
        <v>1050000</v>
      </c>
      <c r="J827" s="269">
        <f ca="1">IFERROR(__xludf.DUMMYFUNCTION("IMPORTRANGE(""https://docs.google.com/spreadsheets/d/19vJNZY_5yjcGF2XGBMNZRCAIB0Kwfpjp8YEOfu-bneM/edit?usp=sharing"",""งานกองทุน!U76"")"),0)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IFERROR(__xludf.DUMMYFUNCTION("IMPORTRANGE(""https://docs.google.com/spreadsheets/d/19vJNZY_5yjcGF2XGBMNZRCAIB0Kwfpjp8YEOfu-bneM/edit?usp=sharing"",""งานกองทุน!R76"")"),42)</f>
        <v>42</v>
      </c>
      <c r="J828" s="500">
        <f ca="1">IFERROR(__xludf.DUMMYFUNCTION("IMPORTRANGE(""https://docs.google.com/spreadsheets/d/19vJNZY_5yjcGF2XGBMNZRCAIB0Kwfpjp8YEOfu-bneM/edit?usp=sharing"",""งานกองทุน!T76"")"),0)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B7CD0-ECB8-4C31-91FF-9B2E2F0AC17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335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3441437</v>
      </c>
      <c r="M8" s="22">
        <f t="shared" ca="1" si="0"/>
        <v>1436015</v>
      </c>
      <c r="N8" s="22">
        <f t="shared" ca="1" si="0"/>
        <v>865048.46</v>
      </c>
      <c r="O8" s="22">
        <f t="shared" ref="O8:O16" ca="1" si="1">IF(L8&gt;0,N8*100/L8,0)</f>
        <v>25.136257325065081</v>
      </c>
      <c r="P8" s="22">
        <f t="shared" ref="P8:P16" ca="1" si="2">IF(M8&gt;0,N8*100/M8,0)</f>
        <v>60.239514211202533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3441437</v>
      </c>
      <c r="M10" s="30">
        <f t="shared" ca="1" si="3"/>
        <v>1436015</v>
      </c>
      <c r="N10" s="30">
        <f t="shared" ca="1" si="3"/>
        <v>865048.46</v>
      </c>
      <c r="O10" s="30">
        <f t="shared" ca="1" si="1"/>
        <v>25.136257325065081</v>
      </c>
      <c r="P10" s="30">
        <f t="shared" ca="1" si="2"/>
        <v>60.239514211202533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3311837</v>
      </c>
      <c r="M11" s="497">
        <f t="shared" ca="1" si="4"/>
        <v>1306415</v>
      </c>
      <c r="N11" s="497">
        <f t="shared" ca="1" si="4"/>
        <v>735448.46</v>
      </c>
      <c r="O11" s="497">
        <f t="shared" ca="1" si="1"/>
        <v>22.206662344795351</v>
      </c>
      <c r="P11" s="497">
        <f t="shared" ca="1" si="2"/>
        <v>56.295163481742016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3311837</v>
      </c>
      <c r="M13" s="93">
        <f t="shared" ca="1" si="5"/>
        <v>1306415</v>
      </c>
      <c r="N13" s="93">
        <f t="shared" ca="1" si="5"/>
        <v>735448.46</v>
      </c>
      <c r="O13" s="93">
        <f t="shared" ca="1" si="1"/>
        <v>22.206662344795351</v>
      </c>
      <c r="P13" s="93">
        <f t="shared" ca="1" si="2"/>
        <v>56.295163481742016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129600</v>
      </c>
      <c r="M14" s="497">
        <f t="shared" ca="1" si="6"/>
        <v>129600</v>
      </c>
      <c r="N14" s="497">
        <f t="shared" ca="1" si="6"/>
        <v>129600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129600</v>
      </c>
      <c r="M16" s="52">
        <f t="shared" ca="1" si="7"/>
        <v>129600</v>
      </c>
      <c r="N16" s="52">
        <f t="shared" ca="1" si="7"/>
        <v>129600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2695565</v>
      </c>
      <c r="M18" s="22">
        <f t="shared" ca="1" si="8"/>
        <v>1436015</v>
      </c>
      <c r="N18" s="22">
        <f t="shared" ca="1" si="8"/>
        <v>825128.46</v>
      </c>
      <c r="O18" s="22">
        <f t="shared" ref="O18:O26" ca="1" si="9">IF(L18&gt;0,N18*100/L18,0)</f>
        <v>30.610594068404954</v>
      </c>
      <c r="P18" s="22">
        <f t="shared" ref="P18:P26" ca="1" si="10">IF(M18&gt;0,N18*100/M18,0)</f>
        <v>57.459598959620898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2695565</v>
      </c>
      <c r="M20" s="30">
        <f t="shared" ca="1" si="11"/>
        <v>1436015</v>
      </c>
      <c r="N20" s="30">
        <f t="shared" ca="1" si="11"/>
        <v>825128.46</v>
      </c>
      <c r="O20" s="30">
        <f t="shared" ca="1" si="9"/>
        <v>30.610594068404954</v>
      </c>
      <c r="P20" s="30">
        <f t="shared" ca="1" si="10"/>
        <v>57.459598959620898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2565965</v>
      </c>
      <c r="M21" s="497">
        <f t="shared" ca="1" si="12"/>
        <v>1306415</v>
      </c>
      <c r="N21" s="497">
        <f t="shared" ca="1" si="12"/>
        <v>695528.46</v>
      </c>
      <c r="O21" s="497">
        <f t="shared" ca="1" si="9"/>
        <v>27.105921553879341</v>
      </c>
      <c r="P21" s="497">
        <f t="shared" ca="1" si="10"/>
        <v>53.239472908685215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2565965</v>
      </c>
      <c r="M23" s="93">
        <f t="shared" ca="1" si="13"/>
        <v>1306415</v>
      </c>
      <c r="N23" s="93">
        <f t="shared" ca="1" si="13"/>
        <v>695528.46</v>
      </c>
      <c r="O23" s="93">
        <f t="shared" ca="1" si="9"/>
        <v>27.105921553879341</v>
      </c>
      <c r="P23" s="93">
        <f t="shared" ca="1" si="10"/>
        <v>53.239472908685215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129600</v>
      </c>
      <c r="M24" s="497">
        <f t="shared" ca="1" si="14"/>
        <v>129600</v>
      </c>
      <c r="N24" s="497">
        <f t="shared" ca="1" si="14"/>
        <v>129600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129600</v>
      </c>
      <c r="M26" s="52">
        <f t="shared" ca="1" si="15"/>
        <v>129600</v>
      </c>
      <c r="N26" s="52">
        <f t="shared" ca="1" si="15"/>
        <v>129600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745872</v>
      </c>
      <c r="M28" s="22">
        <f t="shared" si="16"/>
        <v>0</v>
      </c>
      <c r="N28" s="22">
        <f t="shared" si="16"/>
        <v>39920</v>
      </c>
      <c r="O28" s="22">
        <f t="shared" ref="O28:O37" ca="1" si="17">IF(L28&gt;0,N28*100/L28,0)</f>
        <v>5.3521247613531546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745872</v>
      </c>
      <c r="M30" s="30">
        <f t="shared" si="19"/>
        <v>0</v>
      </c>
      <c r="N30" s="30">
        <f t="shared" si="19"/>
        <v>39920</v>
      </c>
      <c r="O30" s="30">
        <f t="shared" ca="1" si="17"/>
        <v>5.3521247613531546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745872</v>
      </c>
      <c r="M31" s="497">
        <f t="shared" si="20"/>
        <v>0</v>
      </c>
      <c r="N31" s="497">
        <f t="shared" si="20"/>
        <v>39920</v>
      </c>
      <c r="O31" s="497">
        <f t="shared" ca="1" si="17"/>
        <v>5.3521247613531546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745872</v>
      </c>
      <c r="M33" s="93">
        <f t="shared" si="21"/>
        <v>0</v>
      </c>
      <c r="N33" s="93">
        <f t="shared" si="21"/>
        <v>39920</v>
      </c>
      <c r="O33" s="93">
        <f t="shared" ca="1" si="17"/>
        <v>5.3521247613531546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2695565</v>
      </c>
      <c r="M37" s="59">
        <f t="shared" ca="1" si="24"/>
        <v>1436015</v>
      </c>
      <c r="N37" s="59">
        <f t="shared" ca="1" si="24"/>
        <v>825128.46</v>
      </c>
      <c r="O37" s="59">
        <f t="shared" ca="1" si="17"/>
        <v>30.610594068404954</v>
      </c>
      <c r="P37" s="59">
        <f t="shared" ca="1" si="18"/>
        <v>57.459598959620898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342700</v>
      </c>
      <c r="M41" s="85">
        <f t="shared" ca="1" si="25"/>
        <v>177200</v>
      </c>
      <c r="N41" s="85">
        <f t="shared" ca="1" si="25"/>
        <v>71100</v>
      </c>
      <c r="O41" s="85">
        <f t="shared" ref="O41:O49" ca="1" si="26">IF(L41&gt;0,N41*100/L41,0)</f>
        <v>20.747009045812664</v>
      </c>
      <c r="P41" s="85">
        <f t="shared" ref="P41:P49" ca="1" si="27">IF(M41&gt;0,N41*100/M41,0)</f>
        <v>40.12415349887133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342700</v>
      </c>
      <c r="M43" s="92">
        <f t="shared" ca="1" si="28"/>
        <v>177200</v>
      </c>
      <c r="N43" s="92">
        <f t="shared" ca="1" si="28"/>
        <v>71100</v>
      </c>
      <c r="O43" s="92">
        <f t="shared" ca="1" si="26"/>
        <v>20.747009045812664</v>
      </c>
      <c r="P43" s="92">
        <f t="shared" ca="1" si="27"/>
        <v>40.12415349887133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342700</v>
      </c>
      <c r="M44" s="497">
        <f t="shared" ca="1" si="29"/>
        <v>177200</v>
      </c>
      <c r="N44" s="497">
        <f t="shared" ca="1" si="29"/>
        <v>71100</v>
      </c>
      <c r="O44" s="497">
        <f t="shared" ca="1" si="26"/>
        <v>20.747009045812664</v>
      </c>
      <c r="P44" s="497">
        <f t="shared" ca="1" si="27"/>
        <v>40.12415349887133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IFERROR(__xludf.DUMMYFUNCTION("IMPORTRANGE(""https://docs.google.com/spreadsheets/d/1MeEWN-I1oV_STSDYn1IFDPWt_1FKiwhDph83XaGc0o0/edit?usp=sharing"",""งบพรบ!M77"")"),342700)</f>
        <v>342700</v>
      </c>
      <c r="M46" s="93">
        <f ca="1">IFERROR(__xludf.DUMMYFUNCTION("IMPORTRANGE(""https://docs.google.com/spreadsheets/d/1MeEWN-I1oV_STSDYn1IFDPWt_1FKiwhDph83XaGc0o0/edit?usp=sharing"",""งบพรบ!R77"")"),177200)</f>
        <v>177200</v>
      </c>
      <c r="N46" s="93">
        <f ca="1">IFERROR(__xludf.DUMMYFUNCTION("IMPORTRANGE(""https://docs.google.com/spreadsheets/d/1MeEWN-I1oV_STSDYn1IFDPWt_1FKiwhDph83XaGc0o0/edit?usp=sharing"",""งบพรบ!T77"")"),71100)</f>
        <v>71100</v>
      </c>
      <c r="O46" s="93">
        <f t="shared" ca="1" si="26"/>
        <v>20.747009045812664</v>
      </c>
      <c r="P46" s="93">
        <f t="shared" ca="1" si="27"/>
        <v>40.12415349887133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IFERROR(__xludf.DUMMYFUNCTION("IMPORTRANGE(""https://docs.google.com/spreadsheets/d/1MeEWN-I1oV_STSDYn1IFDPWt_1FKiwhDph83XaGc0o0/edit?usp=sharing"",""งบพรบ!P77"")"),0)</f>
        <v>0</v>
      </c>
      <c r="M49" s="52">
        <f ca="1">IFERROR(__xludf.DUMMYFUNCTION("IMPORTRANGE(""https://docs.google.com/spreadsheets/d/1MeEWN-I1oV_STSDYn1IFDPWt_1FKiwhDph83XaGc0o0/edit?usp=sharing"",""งบพรบ!S77"")"),0)</f>
        <v>0</v>
      </c>
      <c r="N49" s="52">
        <f ca="1">IFERROR(__xludf.DUMMYFUNCTION("IMPORTRANGE(""https://docs.google.com/spreadsheets/d/1MeEWN-I1oV_STSDYn1IFDPWt_1FKiwhDph83XaGc0o0/edit?usp=sharing"",""งบพรบ!U77"")"),0)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728300</v>
      </c>
      <c r="M53" s="116">
        <f t="shared" ca="1" si="31"/>
        <v>364150</v>
      </c>
      <c r="N53" s="116">
        <f t="shared" ca="1" si="31"/>
        <v>230201.55</v>
      </c>
      <c r="O53" s="116">
        <f t="shared" ref="O53:O61" ca="1" si="32">IF(L53&gt;0,N53*100/L53,0)</f>
        <v>31.608066730742827</v>
      </c>
      <c r="P53" s="116">
        <f t="shared" ref="P53:P61" ca="1" si="33">IF(M53&gt;0,N53*100/M53,0)</f>
        <v>63.216133461485654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728300</v>
      </c>
      <c r="M55" s="123">
        <f t="shared" ca="1" si="34"/>
        <v>364150</v>
      </c>
      <c r="N55" s="123">
        <f t="shared" ca="1" si="34"/>
        <v>230201.55</v>
      </c>
      <c r="O55" s="123">
        <f t="shared" ca="1" si="32"/>
        <v>31.608066730742827</v>
      </c>
      <c r="P55" s="123">
        <f t="shared" ca="1" si="33"/>
        <v>63.216133461485654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728300</v>
      </c>
      <c r="M56" s="497">
        <f t="shared" ca="1" si="35"/>
        <v>364150</v>
      </c>
      <c r="N56" s="497">
        <f t="shared" ca="1" si="35"/>
        <v>230201.55</v>
      </c>
      <c r="O56" s="497">
        <f t="shared" ca="1" si="32"/>
        <v>31.608066730742827</v>
      </c>
      <c r="P56" s="497">
        <f t="shared" ca="1" si="33"/>
        <v>63.216133461485654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IFERROR(__xludf.DUMMYFUNCTION("IMPORTRANGE(""https://docs.google.com/spreadsheets/d/1MeEWN-I1oV_STSDYn1IFDPWt_1FKiwhDph83XaGc0o0/edit?usp=sharing"",""งบพรบ!W77"")"),728300)</f>
        <v>728300</v>
      </c>
      <c r="M58" s="93">
        <f ca="1">IFERROR(__xludf.DUMMYFUNCTION("IMPORTRANGE(""https://docs.google.com/spreadsheets/d/1MeEWN-I1oV_STSDYn1IFDPWt_1FKiwhDph83XaGc0o0/edit?usp=sharing"",""งบพรบ!AB77"")"),364150)</f>
        <v>364150</v>
      </c>
      <c r="N58" s="93">
        <f ca="1">IFERROR(__xludf.DUMMYFUNCTION("IMPORTRANGE(""https://docs.google.com/spreadsheets/d/1MeEWN-I1oV_STSDYn1IFDPWt_1FKiwhDph83XaGc0o0/edit?usp=sharing"",""งบพรบ!AD77"")"),230201.55)</f>
        <v>230201.55</v>
      </c>
      <c r="O58" s="93">
        <f t="shared" ca="1" si="32"/>
        <v>31.608066730742827</v>
      </c>
      <c r="P58" s="93">
        <f t="shared" ca="1" si="33"/>
        <v>63.216133461485654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IFERROR(__xludf.DUMMYFUNCTION("IMPORTRANGE(""https://docs.google.com/spreadsheets/d/1MeEWN-I1oV_STSDYn1IFDPWt_1FKiwhDph83XaGc0o0/edit?usp=sharing"",""งบพรบ!Z77"")"),0)</f>
        <v>0</v>
      </c>
      <c r="M61" s="52">
        <f ca="1">IFERROR(__xludf.DUMMYFUNCTION("IMPORTRANGE(""https://docs.google.com/spreadsheets/d/1MeEWN-I1oV_STSDYn1IFDPWt_1FKiwhDph83XaGc0o0/edit?usp=sharing"",""งบพรบ!AC77"")"),0)</f>
        <v>0</v>
      </c>
      <c r="N61" s="52">
        <f ca="1">IFERROR(__xludf.DUMMYFUNCTION("IMPORTRANGE(""https://docs.google.com/spreadsheets/d/1MeEWN-I1oV_STSDYn1IFDPWt_1FKiwhDph83XaGc0o0/edit?usp=sharing"",""งบพรบ!AE77"")"),0)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IFERROR(__xludf.DUMMYFUNCTION("IMPORTRANGE(""https://docs.google.com/spreadsheets/d/1MeEWN-I1oV_STSDYn1IFDPWt_1FKiwhDph83XaGc0o0/edit?usp=sharing"",""งบพรบ!AG77"")"),0)</f>
        <v>0</v>
      </c>
      <c r="M71" s="93">
        <f ca="1">IFERROR(__xludf.DUMMYFUNCTION("IMPORTRANGE(""https://docs.google.com/spreadsheets/d/1MeEWN-I1oV_STSDYn1IFDPWt_1FKiwhDph83XaGc0o0/edit?usp=sharing"",""งบพรบ!AL77"")"),0)</f>
        <v>0</v>
      </c>
      <c r="N71" s="93">
        <f ca="1">IFERROR(__xludf.DUMMYFUNCTION("IMPORTRANGE(""https://docs.google.com/spreadsheets/d/1MeEWN-I1oV_STSDYn1IFDPWt_1FKiwhDph83XaGc0o0/edit?usp=sharing"",""งบพรบ!AN77"")"),0)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IFERROR(__xludf.DUMMYFUNCTION("IMPORTRANGE(""https://docs.google.com/spreadsheets/d/1MeEWN-I1oV_STSDYn1IFDPWt_1FKiwhDph83XaGc0o0/edit?usp=sharing"",""งบพรบ!AJ77"")"),0)</f>
        <v>0</v>
      </c>
      <c r="M74" s="93">
        <f ca="1">IFERROR(__xludf.DUMMYFUNCTION("IMPORTRANGE(""https://docs.google.com/spreadsheets/d/1MeEWN-I1oV_STSDYn1IFDPWt_1FKiwhDph83XaGc0o0/edit?usp=sharing"",""งบพรบ!AM77"")"),0)</f>
        <v>0</v>
      </c>
      <c r="N74" s="93">
        <f ca="1">IFERROR(__xludf.DUMMYFUNCTION("IMPORTRANGE(""https://docs.google.com/spreadsheets/d/1MeEWN-I1oV_STSDYn1IFDPWt_1FKiwhDph83XaGc0o0/edit?usp=sharing"",""งบพรบ!AO77"")"),0)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IFERROR(__xludf.DUMMYFUNCTION("IMPORTRANGE(""https://docs.google.com/spreadsheets/d/1QqKyyYR6Q21VydFLVH3TRQUabQu_ym0Zz7PgGX0-kHA/edit?usp=sharing"",""แผน!H77"")"),0)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IFERROR(__xludf.DUMMYFUNCTION("IMPORTRANGE(""https://docs.google.com/spreadsheets/d/1QqKyyYR6Q21VydFLVH3TRQUabQu_ym0Zz7PgGX0-kHA/edit?usp=sharing"",""แผน!I77"")"),0)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IFERROR(__xludf.DUMMYFUNCTION("IMPORTRANGE(""https://docs.google.com/spreadsheets/d/1QqKyyYR6Q21VydFLVH3TRQUabQu_ym0Zz7PgGX0-kHA/edit?usp=sharing"",""แผน!F77"")"),0)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IFERROR(__xludf.DUMMYFUNCTION("IMPORTRANGE(""https://docs.google.com/spreadsheets/d/1QqKyyYR6Q21VydFLVH3TRQUabQu_ym0Zz7PgGX0-kHA/edit?usp=sharing"",""แผน!G77"")"),0)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IFERROR(__xludf.DUMMYFUNCTION("IMPORTRANGE(""https://docs.google.com/spreadsheets/d/1QqKyyYR6Q21VydFLVH3TRQUabQu_ym0Zz7PgGX0-kHA/edit?usp=sharing"",""แผน!D77"")"),0)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IFERROR(__xludf.DUMMYFUNCTION("IMPORTRANGE(""https://docs.google.com/spreadsheets/d/1QqKyyYR6Q21VydFLVH3TRQUabQu_ym0Zz7PgGX0-kHA/edit?usp=sharing"",""แผน!E77"")"),0)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IFERROR(__xludf.DUMMYFUNCTION("IMPORTRANGE(""https://docs.google.com/spreadsheets/d/1QqKyyYR6Q21VydFLVH3TRQUabQu_ym0Zz7PgGX0-kHA/edit?usp=sharing"",""แผน!J77"")"),0)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203800</v>
      </c>
      <c r="M88" s="155">
        <f t="shared" ca="1" si="49"/>
        <v>92750</v>
      </c>
      <c r="N88" s="155">
        <f t="shared" ca="1" si="49"/>
        <v>63504.37</v>
      </c>
      <c r="O88" s="155">
        <f t="shared" ref="O88:O96" ca="1" si="50">IF(L88&gt;0,N88*100/L88,0)</f>
        <v>31.160142296368988</v>
      </c>
      <c r="P88" s="155">
        <f t="shared" ref="P88:P96" ca="1" si="51">IF(M88&gt;0,N88*100/M88,0)</f>
        <v>68.468323450134775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203800</v>
      </c>
      <c r="M90" s="93">
        <f t="shared" ca="1" si="52"/>
        <v>92750</v>
      </c>
      <c r="N90" s="93">
        <f t="shared" ca="1" si="52"/>
        <v>63504.37</v>
      </c>
      <c r="O90" s="93">
        <f t="shared" ca="1" si="50"/>
        <v>31.160142296368988</v>
      </c>
      <c r="P90" s="93">
        <f t="shared" ca="1" si="51"/>
        <v>68.468323450134775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203800</v>
      </c>
      <c r="M91" s="497">
        <f t="shared" ca="1" si="53"/>
        <v>92750</v>
      </c>
      <c r="N91" s="497">
        <f t="shared" ca="1" si="53"/>
        <v>63504.37</v>
      </c>
      <c r="O91" s="497">
        <f t="shared" ca="1" si="50"/>
        <v>31.160142296368988</v>
      </c>
      <c r="P91" s="497">
        <f t="shared" ca="1" si="51"/>
        <v>68.468323450134775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IFERROR(__xludf.DUMMYFUNCTION("IMPORTRANGE(""https://docs.google.com/spreadsheets/d/1MeEWN-I1oV_STSDYn1IFDPWt_1FKiwhDph83XaGc0o0/edit?usp=sharing"",""งบพรบ!AQ77"")"),203800)</f>
        <v>203800</v>
      </c>
      <c r="M93" s="93">
        <f ca="1">IFERROR(__xludf.DUMMYFUNCTION("IMPORTRANGE(""https://docs.google.com/spreadsheets/d/1MeEWN-I1oV_STSDYn1IFDPWt_1FKiwhDph83XaGc0o0/edit?usp=sharing"",""งบพรบ!AV77"")"),92750)</f>
        <v>92750</v>
      </c>
      <c r="N93" s="93">
        <f ca="1">IFERROR(__xludf.DUMMYFUNCTION("IMPORTRANGE(""https://docs.google.com/spreadsheets/d/1MeEWN-I1oV_STSDYn1IFDPWt_1FKiwhDph83XaGc0o0/edit?usp=sharing"",""งบพรบ!AX77"")"),63504.37)</f>
        <v>63504.37</v>
      </c>
      <c r="O93" s="93">
        <f t="shared" ca="1" si="50"/>
        <v>31.160142296368988</v>
      </c>
      <c r="P93" s="93">
        <f t="shared" ca="1" si="51"/>
        <v>68.468323450134775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IFERROR(__xludf.DUMMYFUNCTION("IMPORTRANGE(""https://docs.google.com/spreadsheets/d/1MeEWN-I1oV_STSDYn1IFDPWt_1FKiwhDph83XaGc0o0/edit?usp=sharing"",""งบพรบ!AT77"")"),0)</f>
        <v>0</v>
      </c>
      <c r="M96" s="93">
        <f ca="1">IFERROR(__xludf.DUMMYFUNCTION("IMPORTRANGE(""https://docs.google.com/spreadsheets/d/1MeEWN-I1oV_STSDYn1IFDPWt_1FKiwhDph83XaGc0o0/edit?usp=sharing"",""งบพรบ!AW77"")"),0)</f>
        <v>0</v>
      </c>
      <c r="N96" s="93">
        <f ca="1">IFERROR(__xludf.DUMMYFUNCTION("IMPORTRANGE(""https://docs.google.com/spreadsheets/d/1MeEWN-I1oV_STSDYn1IFDPWt_1FKiwhDph83XaGc0o0/edit?usp=sharing"",""งบพรบ!AY77"")"),0)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IFERROR(__xludf.DUMMYFUNCTION("IMPORTRANGE(""https://docs.google.com/spreadsheets/d/1QqKyyYR6Q21VydFLVH3TRQUabQu_ym0Zz7PgGX0-kHA/edit?usp=sharing"",""แผน!K77"")"),0)</f>
        <v>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IFERROR(__xludf.DUMMYFUNCTION("IMPORTRANGE(""https://docs.google.com/spreadsheets/d/1QqKyyYR6Q21VydFLVH3TRQUabQu_ym0Zz7PgGX0-kHA/edit?usp=sharing"",""แผน!L77"")"),0)</f>
        <v>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IFERROR(__xludf.DUMMYFUNCTION("IMPORTRANGE(""https://docs.google.com/spreadsheets/d/1QqKyyYR6Q21VydFLVH3TRQUabQu_ym0Zz7PgGX0-kHA/edit?usp=sharing"",""แผน!M77"")"),2)</f>
        <v>2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IFERROR(__xludf.DUMMYFUNCTION("IMPORTRANGE(""https://docs.google.com/spreadsheets/d/1QqKyyYR6Q21VydFLVH3TRQUabQu_ym0Zz7PgGX0-kHA/edit?usp=sharing"",""แผน!N77"")"),0)</f>
        <v>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IFERROR(__xludf.DUMMYFUNCTION("IMPORTRANGE(""https://docs.google.com/spreadsheets/d/1QqKyyYR6Q21VydFLVH3TRQUabQu_ym0Zz7PgGX0-kHA/edit?usp=sharing"",""แผน!O77"")"),0)</f>
        <v>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IFERROR(__xludf.DUMMYFUNCTION("IMPORTRANGE(""https://docs.google.com/spreadsheets/d/1QqKyyYR6Q21VydFLVH3TRQUabQu_ym0Zz7PgGX0-kHA/edit?usp=sharing"",""แผน!O77"")"),0)</f>
        <v>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IFERROR(__xludf.DUMMYFUNCTION("IMPORTRANGE(""https://docs.google.com/spreadsheets/d/1QqKyyYR6Q21VydFLVH3TRQUabQu_ym0Zz7PgGX0-kHA/edit?usp=sharing"",""แผน!P77"")"),1)</f>
        <v>1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IFERROR(__xludf.DUMMYFUNCTION("IMPORTRANGE(""https://docs.google.com/spreadsheets/d/1QqKyyYR6Q21VydFLVH3TRQUabQu_ym0Zz7PgGX0-kHA/edit?usp=sharing"",""แผน!P77"")"),1)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IFERROR(__xludf.DUMMYFUNCTION("IMPORTRANGE(""https://docs.google.com/spreadsheets/d/1QqKyyYR6Q21VydFLVH3TRQUabQu_ym0Zz7PgGX0-kHA/edit?usp=sharing"",""แผน!Q77"")"),1)</f>
        <v>1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IFERROR(__xludf.DUMMYFUNCTION("IMPORTRANGE(""https://docs.google.com/spreadsheets/d/1QqKyyYR6Q21VydFLVH3TRQUabQu_ym0Zz7PgGX0-kHA/edit?usp=sharing"",""แผน!Q77"")"),1)</f>
        <v>1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IFERROR(__xludf.DUMMYFUNCTION("IMPORTRANGE(""https://docs.google.com/spreadsheets/d/1QqKyyYR6Q21VydFLVH3TRQUabQu_ym0Zz7PgGX0-kHA/edit?usp=sharing"",""แผน!R77"")"),0)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IFERROR(__xludf.DUMMYFUNCTION("IMPORTRANGE(""https://docs.google.com/spreadsheets/d/1QqKyyYR6Q21VydFLVH3TRQUabQu_ym0Zz7PgGX0-kHA/edit?usp=sharing"",""แผน!R77"")"),0)</f>
        <v>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IFERROR(__xludf.DUMMYFUNCTION("IMPORTRANGE(""https://docs.google.com/spreadsheets/d/1QqKyyYR6Q21VydFLVH3TRQUabQu_ym0Zz7PgGX0-kHA/edit?usp=sharing"",""แผน!R77"")"),0)</f>
        <v>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IFERROR(__xludf.DUMMYFUNCTION("IMPORTRANGE(""https://docs.google.com/spreadsheets/d/1QqKyyYR6Q21VydFLVH3TRQUabQu_ym0Zz7PgGX0-kHA/edit?usp=sharing"",""แผน!S77"")"),1)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IFERROR(__xludf.DUMMYFUNCTION("IMPORTRANGE(""https://docs.google.com/spreadsheets/d/1QqKyyYR6Q21VydFLVH3TRQUabQu_ym0Zz7PgGX0-kHA/edit?usp=sharing"",""แผน!T77"")"),1)</f>
        <v>1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IFERROR(__xludf.DUMMYFUNCTION("IMPORTRANGE(""https://docs.google.com/spreadsheets/d/1MeEWN-I1oV_STSDYn1IFDPWt_1FKiwhDph83XaGc0o0/edit?usp=sharing"",""งบพรบ!BA77"")"),0)</f>
        <v>0</v>
      </c>
      <c r="M124" s="93">
        <f ca="1">IFERROR(__xludf.DUMMYFUNCTION("IMPORTRANGE(""https://docs.google.com/spreadsheets/d/1MeEWN-I1oV_STSDYn1IFDPWt_1FKiwhDph83XaGc0o0/edit?usp=sharing"",""งบพรบ!BF77"")"),0)</f>
        <v>0</v>
      </c>
      <c r="N124" s="93">
        <f ca="1">IFERROR(__xludf.DUMMYFUNCTION("IMPORTRANGE(""https://docs.google.com/spreadsheets/d/1MeEWN-I1oV_STSDYn1IFDPWt_1FKiwhDph83XaGc0o0/edit?usp=sharing"",""งบพรบ!BH77"")"),0)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IFERROR(__xludf.DUMMYFUNCTION("IMPORTRANGE(""https://docs.google.com/spreadsheets/d/1MeEWN-I1oV_STSDYn1IFDPWt_1FKiwhDph83XaGc0o0/edit?usp=sharing"",""งบพรบ!BD77"")"),0)</f>
        <v>0</v>
      </c>
      <c r="M127" s="93">
        <f ca="1">IFERROR(__xludf.DUMMYFUNCTION("IMPORTRANGE(""https://docs.google.com/spreadsheets/d/1MeEWN-I1oV_STSDYn1IFDPWt_1FKiwhDph83XaGc0o0/edit?usp=sharing"",""งบพรบ!BG77"")"),0)</f>
        <v>0</v>
      </c>
      <c r="N127" s="93">
        <f ca="1">IFERROR(__xludf.DUMMYFUNCTION("IMPORTRANGE(""https://docs.google.com/spreadsheets/d/1MeEWN-I1oV_STSDYn1IFDPWt_1FKiwhDph83XaGc0o0/edit?usp=sharing"",""งบพรบ!BI77"")"),0)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IFERROR(__xludf.DUMMYFUNCTION("IMPORTRANGE(""https://docs.google.com/spreadsheets/d/1MeEWN-I1oV_STSDYn1IFDPWt_1FKiwhDph83XaGc0o0/edit?usp=sharing"",""งบพรบ!BK77"")"),0)</f>
        <v>0</v>
      </c>
      <c r="M137" s="93">
        <f ca="1">IFERROR(__xludf.DUMMYFUNCTION("IMPORTRANGE(""https://docs.google.com/spreadsheets/d/1MeEWN-I1oV_STSDYn1IFDPWt_1FKiwhDph83XaGc0o0/edit?usp=sharing"",""งบพรบ!BP77"")"),0)</f>
        <v>0</v>
      </c>
      <c r="N137" s="93">
        <f ca="1">IFERROR(__xludf.DUMMYFUNCTION("IMPORTRANGE(""https://docs.google.com/spreadsheets/d/1MeEWN-I1oV_STSDYn1IFDPWt_1FKiwhDph83XaGc0o0/edit?usp=sharing"",""งบพรบ!BR77"")"),0)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IFERROR(__xludf.DUMMYFUNCTION("IMPORTRANGE(""https://docs.google.com/spreadsheets/d/1MeEWN-I1oV_STSDYn1IFDPWt_1FKiwhDph83XaGc0o0/edit?usp=sharing"",""งบพรบ!BN77"")"),0)</f>
        <v>0</v>
      </c>
      <c r="M140" s="93">
        <f ca="1">IFERROR(__xludf.DUMMYFUNCTION("IMPORTRANGE(""https://docs.google.com/spreadsheets/d/1MeEWN-I1oV_STSDYn1IFDPWt_1FKiwhDph83XaGc0o0/edit?usp=sharing"",""งบพรบ!BQ77"")"),0)</f>
        <v>0</v>
      </c>
      <c r="N140" s="93">
        <f ca="1">IFERROR(__xludf.DUMMYFUNCTION("IMPORTRANGE(""https://docs.google.com/spreadsheets/d/1MeEWN-I1oV_STSDYn1IFDPWt_1FKiwhDph83XaGc0o0/edit?usp=sharing"",""งบพรบ!BS77"")"),0)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IFERROR(__xludf.DUMMYFUNCTION("IMPORTRANGE(""https://docs.google.com/spreadsheets/d/1QqKyyYR6Q21VydFLVH3TRQUabQu_ym0Zz7PgGX0-kHA/edit?usp=sharing"",""แผน!U77"")"),0)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IFERROR(__xludf.DUMMYFUNCTION("IMPORTRANGE(""https://docs.google.com/spreadsheets/d/1QqKyyYR6Q21VydFLVH3TRQUabQu_ym0Zz7PgGX0-kHA/edit?usp=sharing"",""แผน!V77"")"),0)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IFERROR(__xludf.DUMMYFUNCTION("IMPORTRANGE(""https://docs.google.com/spreadsheets/d/1QqKyyYR6Q21VydFLVH3TRQUabQu_ym0Zz7PgGX0-kHA/edit?usp=sharing"",""แผน!W77"")"),0)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IFERROR(__xludf.DUMMYFUNCTION("IMPORTRANGE(""https://docs.google.com/spreadsheets/d/1MeEWN-I1oV_STSDYn1IFDPWt_1FKiwhDph83XaGc0o0/edit?usp=sharing"",""งบพรบ!BU77"")"),0)</f>
        <v>0</v>
      </c>
      <c r="M154" s="93">
        <f ca="1">IFERROR(__xludf.DUMMYFUNCTION("IMPORTRANGE(""https://docs.google.com/spreadsheets/d/1MeEWN-I1oV_STSDYn1IFDPWt_1FKiwhDph83XaGc0o0/edit?usp=sharing"",""งบพรบ!BZ77"")"),0)</f>
        <v>0</v>
      </c>
      <c r="N154" s="93">
        <f ca="1">IFERROR(__xludf.DUMMYFUNCTION("IMPORTRANGE(""https://docs.google.com/spreadsheets/d/1MeEWN-I1oV_STSDYn1IFDPWt_1FKiwhDph83XaGc0o0/edit?usp=sharing"",""งบพรบ!CB77"")"),0)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IFERROR(__xludf.DUMMYFUNCTION("IMPORTRANGE(""https://docs.google.com/spreadsheets/d/1MeEWN-I1oV_STSDYn1IFDPWt_1FKiwhDph83XaGc0o0/edit?usp=sharing"",""งบพรบ!BX77"")"),0)</f>
        <v>0</v>
      </c>
      <c r="M157" s="93">
        <f ca="1">IFERROR(__xludf.DUMMYFUNCTION("IMPORTRANGE(""https://docs.google.com/spreadsheets/d/1MeEWN-I1oV_STSDYn1IFDPWt_1FKiwhDph83XaGc0o0/edit?usp=sharing"",""งบพรบ!CA77"")"),0)</f>
        <v>0</v>
      </c>
      <c r="N157" s="93">
        <f ca="1">IFERROR(__xludf.DUMMYFUNCTION("IMPORTRANGE(""https://docs.google.com/spreadsheets/d/1MeEWN-I1oV_STSDYn1IFDPWt_1FKiwhDph83XaGc0o0/edit?usp=sharing"",""งบพรบ!CC77"")"),0)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IFERROR(__xludf.DUMMYFUNCTION("IMPORTRANGE(""https://docs.google.com/spreadsheets/d/1QqKyyYR6Q21VydFLVH3TRQUabQu_ym0Zz7PgGX0-kHA/edit?usp=sharing"",""แผน!X77"")"),0)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13</v>
      </c>
      <c r="J164" s="252">
        <f t="shared" si="83"/>
        <v>13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24065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24065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24065</v>
      </c>
      <c r="M168" s="497">
        <f t="shared" ca="1" si="88"/>
        <v>24065</v>
      </c>
      <c r="N168" s="497">
        <f t="shared" ca="1" si="88"/>
        <v>24065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IFERROR(__xludf.DUMMYFUNCTION("IMPORTRANGE(""https://docs.google.com/spreadsheets/d/1MeEWN-I1oV_STSDYn1IFDPWt_1FKiwhDph83XaGc0o0/edit?usp=sharing"",""งบพรบ!CE77"")"),24065)</f>
        <v>24065</v>
      </c>
      <c r="M170" s="93">
        <f ca="1">IFERROR(__xludf.DUMMYFUNCTION("IMPORTRANGE(""https://docs.google.com/spreadsheets/d/1MeEWN-I1oV_STSDYn1IFDPWt_1FKiwhDph83XaGc0o0/edit?usp=sharing"",""งบพรบ!CJ77"")"),24065)</f>
        <v>24065</v>
      </c>
      <c r="N170" s="93">
        <f ca="1">IFERROR(__xludf.DUMMYFUNCTION("IMPORTRANGE(""https://docs.google.com/spreadsheets/d/1MeEWN-I1oV_STSDYn1IFDPWt_1FKiwhDph83XaGc0o0/edit?usp=sharing"",""งบพรบ!CL77"")"),24065)</f>
        <v>24065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IFERROR(__xludf.DUMMYFUNCTION("IMPORTRANGE(""https://docs.google.com/spreadsheets/d/1MeEWN-I1oV_STSDYn1IFDPWt_1FKiwhDph83XaGc0o0/edit?usp=sharing"",""งบพรบ!CH77"")"),0)</f>
        <v>0</v>
      </c>
      <c r="M173" s="93">
        <f ca="1">IFERROR(__xludf.DUMMYFUNCTION("IMPORTRANGE(""https://docs.google.com/spreadsheets/d/1MeEWN-I1oV_STSDYn1IFDPWt_1FKiwhDph83XaGc0o0/edit?usp=sharing"",""งบพรบ!CK77"")"),0)</f>
        <v>0</v>
      </c>
      <c r="N173" s="93">
        <f ca="1">IFERROR(__xludf.DUMMYFUNCTION("IMPORTRANGE(""https://docs.google.com/spreadsheets/d/1MeEWN-I1oV_STSDYn1IFDPWt_1FKiwhDph83XaGc0o0/edit?usp=sharing"",""งบพรบ!CM77"")"),0)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13</v>
      </c>
      <c r="J174" s="260">
        <f t="shared" si="90"/>
        <v>13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IFERROR(__xludf.DUMMYFUNCTION("IMPORTRANGE(""https://docs.google.com/spreadsheets/d/1QqKyyYR6Q21VydFLVH3TRQUabQu_ym0Zz7PgGX0-kHA/edit?usp=sharing"",""แผน!Y77"")"),13)</f>
        <v>13</v>
      </c>
      <c r="J176" s="214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206200</v>
      </c>
      <c r="M181" s="155">
        <f t="shared" ca="1" si="92"/>
        <v>107350</v>
      </c>
      <c r="N181" s="155">
        <f t="shared" ca="1" si="92"/>
        <v>65337.02</v>
      </c>
      <c r="O181" s="155">
        <f t="shared" ref="O181:O189" ca="1" si="93">IF(L181&gt;0,N181*100/L181,0)</f>
        <v>31.686236663433558</v>
      </c>
      <c r="P181" s="155">
        <f t="shared" ref="P181:P189" ca="1" si="94">IF(M181&gt;0,N181*100/M181,0)</f>
        <v>60.863549138332559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206200</v>
      </c>
      <c r="M183" s="93">
        <f t="shared" ca="1" si="95"/>
        <v>107350</v>
      </c>
      <c r="N183" s="93">
        <f t="shared" ca="1" si="95"/>
        <v>65337.02</v>
      </c>
      <c r="O183" s="93">
        <f t="shared" ca="1" si="93"/>
        <v>31.686236663433558</v>
      </c>
      <c r="P183" s="93">
        <f t="shared" ca="1" si="94"/>
        <v>60.863549138332559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206200</v>
      </c>
      <c r="M184" s="497">
        <f t="shared" ca="1" si="96"/>
        <v>107350</v>
      </c>
      <c r="N184" s="497">
        <f t="shared" ca="1" si="96"/>
        <v>65337.02</v>
      </c>
      <c r="O184" s="497">
        <f t="shared" ca="1" si="93"/>
        <v>31.686236663433558</v>
      </c>
      <c r="P184" s="497">
        <f t="shared" ca="1" si="94"/>
        <v>60.863549138332559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IFERROR(__xludf.DUMMYFUNCTION("IMPORTRANGE(""https://docs.google.com/spreadsheets/d/1MeEWN-I1oV_STSDYn1IFDPWt_1FKiwhDph83XaGc0o0/edit?usp=sharing"",""งบพรบ!CO77"")"),206200)</f>
        <v>206200</v>
      </c>
      <c r="M186" s="93">
        <f ca="1">IFERROR(__xludf.DUMMYFUNCTION("IMPORTRANGE(""https://docs.google.com/spreadsheets/d/1MeEWN-I1oV_STSDYn1IFDPWt_1FKiwhDph83XaGc0o0/edit?usp=sharing"",""งบพรบ!CT77"")"),107350)</f>
        <v>107350</v>
      </c>
      <c r="N186" s="93">
        <f ca="1">IFERROR(__xludf.DUMMYFUNCTION("IMPORTRANGE(""https://docs.google.com/spreadsheets/d/1MeEWN-I1oV_STSDYn1IFDPWt_1FKiwhDph83XaGc0o0/edit?usp=sharing"",""งบพรบ!CV77"")"),65337.02)</f>
        <v>65337.02</v>
      </c>
      <c r="O186" s="93">
        <f t="shared" ca="1" si="93"/>
        <v>31.686236663433558</v>
      </c>
      <c r="P186" s="93">
        <f t="shared" ca="1" si="94"/>
        <v>60.863549138332559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IFERROR(__xludf.DUMMYFUNCTION("IMPORTRANGE(""https://docs.google.com/spreadsheets/d/1MeEWN-I1oV_STSDYn1IFDPWt_1FKiwhDph83XaGc0o0/edit?usp=sharing"",""งบพรบ!CR77"")"),0)</f>
        <v>0</v>
      </c>
      <c r="M189" s="93">
        <f ca="1">IFERROR(__xludf.DUMMYFUNCTION("IMPORTRANGE(""https://docs.google.com/spreadsheets/d/1MeEWN-I1oV_STSDYn1IFDPWt_1FKiwhDph83XaGc0o0/edit?usp=sharing"",""งบพรบ!CU77"")"),0)</f>
        <v>0</v>
      </c>
      <c r="N189" s="93">
        <f ca="1">IFERROR(__xludf.DUMMYFUNCTION("IMPORTRANGE(""https://docs.google.com/spreadsheets/d/1MeEWN-I1oV_STSDYn1IFDPWt_1FKiwhDph83XaGc0o0/edit?usp=sharing"",""งบพรบ!CW77"")"),0)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IFERROR(__xludf.DUMMYFUNCTION("IMPORTRANGE(""https://docs.google.com/spreadsheets/d/1QqKyyYR6Q21VydFLVH3TRQUabQu_ym0Zz7PgGX0-kHA/edit?usp=sharing"",""แผน!Z77"")"),6000)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IFERROR(__xludf.DUMMYFUNCTION("IMPORTRANGE(""https://docs.google.com/spreadsheets/d/1QqKyyYR6Q21VydFLVH3TRQUabQu_ym0Zz7PgGX0-kHA/edit?usp=sharing"",""แผน!AC77"")"),4)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27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27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1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13000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IFERROR(__xludf.DUMMYFUNCTION("IMPORTRANGE(""https://docs.google.com/spreadsheets/d/1QqKyyYR6Q21VydFLVH3TRQUabQu_ym0Zz7PgGX0-kHA/edit?usp=sharing"",""แผน!AE77"")"),1000)</f>
        <v>1000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IFERROR(__xludf.DUMMYFUNCTION("IMPORTRANGE(""https://docs.google.com/spreadsheets/d/1QqKyyYR6Q21VydFLVH3TRQUabQu_ym0Zz7PgGX0-kHA/edit?usp=sharing"",""แผน!AF77"")"),8000)</f>
        <v>8000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IFERROR(__xludf.DUMMYFUNCTION("IMPORTRANGE(""https://docs.google.com/spreadsheets/d/1QqKyyYR6Q21VydFLVH3TRQUabQu_ym0Zz7PgGX0-kHA/edit?usp=sharing"",""แผน!AG77"")"),4000)</f>
        <v>4000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IFERROR(__xludf.DUMMYFUNCTION("IMPORTRANGE(""https://docs.google.com/spreadsheets/d/1QqKyyYR6Q21VydFLVH3TRQUabQu_ym0Zz7PgGX0-kHA/edit?usp=sharing"",""แผน!AH77"")"),0)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IFERROR(__xludf.DUMMYFUNCTION("IMPORTRANGE(""https://docs.google.com/spreadsheets/d/1QqKyyYR6Q21VydFLVH3TRQUabQu_ym0Zz7PgGX0-kHA/edit?usp=sharing"",""แผน!AI77"")"),1)</f>
        <v>1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1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IFERROR(__xludf.DUMMYFUNCTION("IMPORTRANGE(""https://docs.google.com/spreadsheets/d/1QqKyyYR6Q21VydFLVH3TRQUabQu_ym0Zz7PgGX0-kHA/edit?usp=sharing"",""แผน!AK77"")"),0)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IFERROR(__xludf.DUMMYFUNCTION("IMPORTRANGE(""https://docs.google.com/spreadsheets/d/1QqKyyYR6Q21VydFLVH3TRQUabQu_ym0Zz7PgGX0-kHA/edit?usp=sharing"",""แผน!AL77"")"),0)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IFERROR(__xludf.DUMMYFUNCTION("IMPORTRANGE(""https://docs.google.com/spreadsheets/d/1QqKyyYR6Q21VydFLVH3TRQUabQu_ym0Zz7PgGX0-kHA/edit?usp=sharing"",""แผน!AM77"")"),0)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IFERROR(__xludf.DUMMYFUNCTION("IMPORTRANGE(""https://docs.google.com/spreadsheets/d/1QqKyyYR6Q21VydFLVH3TRQUabQu_ym0Zz7PgGX0-kHA/edit?usp=sharing"",""แผน!AN77"")"),0)</f>
        <v>0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IFERROR(__xludf.DUMMYFUNCTION("IMPORTRANGE(""https://docs.google.com/spreadsheets/d/1QqKyyYR6Q21VydFLVH3TRQUabQu_ym0Zz7PgGX0-kHA/edit?usp=sharing"",""แผน!AN77"")"),0)</f>
        <v>0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10000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16500</v>
      </c>
      <c r="M217" s="155"/>
      <c r="N217" s="155">
        <f>N218+N219+N220</f>
        <v>1100</v>
      </c>
      <c r="O217" s="155">
        <f ca="1">IF(L217&gt;0,N217*100/L217,0)</f>
        <v>6.666666666666667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IFERROR(__xludf.DUMMYFUNCTION("IMPORTRANGE(""https://docs.google.com/spreadsheets/d/1QqKyyYR6Q21VydFLVH3TRQUabQu_ym0Zz7PgGX0-kHA/edit?usp=sharing"",""แผน!AP77"")"),3000)</f>
        <v>3000</v>
      </c>
      <c r="M218" s="497"/>
      <c r="N218" s="818">
        <v>1100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IFERROR(__xludf.DUMMYFUNCTION("IMPORTRANGE(""https://docs.google.com/spreadsheets/d/1QqKyyYR6Q21VydFLVH3TRQUabQu_ym0Zz7PgGX0-kHA/edit?usp=sharing"",""แผน!AQ77"")"),3500)</f>
        <v>3500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IFERROR(__xludf.DUMMYFUNCTION("IMPORTRANGE(""https://docs.google.com/spreadsheets/d/1QqKyyYR6Q21VydFLVH3TRQUabQu_ym0Zz7PgGX0-kHA/edit?usp=sharing"",""แผน!AR77"")"),10000)</f>
        <v>10000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IFERROR(__xludf.DUMMYFUNCTION("IMPORTRANGE(""https://docs.google.com/spreadsheets/d/1QqKyyYR6Q21VydFLVH3TRQUabQu_ym0Zz7PgGX0-kHA/edit?usp=sharing"",""แผน!AT77"")"),10000)</f>
        <v>10000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IFERROR(__xludf.DUMMYFUNCTION("IMPORTRANGE(""https://docs.google.com/spreadsheets/d/1QqKyyYR6Q21VydFLVH3TRQUabQu_ym0Zz7PgGX0-kHA/edit?usp=sharing"",""แผน!AT77"")"),10000)</f>
        <v>10000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IFERROR(__xludf.DUMMYFUNCTION("IMPORTRANGE(""https://docs.google.com/spreadsheets/d/1QqKyyYR6Q21VydFLVH3TRQUabQu_ym0Zz7PgGX0-kHA/edit?usp=sharing"",""แผน!AS77"")"),10)</f>
        <v>10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IFERROR(__xludf.DUMMYFUNCTION("IMPORTRANGE(""https://docs.google.com/spreadsheets/d/1QqKyyYR6Q21VydFLVH3TRQUabQu_ym0Zz7PgGX0-kHA/edit?usp=sharing"",""แผน!AV77"")"),0)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IFERROR(__xludf.DUMMYFUNCTION("IMPORTRANGE(""https://docs.google.com/spreadsheets/d/1QqKyyYR6Q21VydFLVH3TRQUabQu_ym0Zz7PgGX0-kHA/edit?usp=sharing"",""แผน!AW77"")"),0)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IFERROR(__xludf.DUMMYFUNCTION("IMPORTRANGE(""https://docs.google.com/spreadsheets/d/1QqKyyYR6Q21VydFLVH3TRQUabQu_ym0Zz7PgGX0-kHA/edit?usp=sharing"",""แผน!AX77"")"),0)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IFERROR(__xludf.DUMMYFUNCTION("IMPORTRANGE(""https://docs.google.com/spreadsheets/d/1QqKyyYR6Q21VydFLVH3TRQUabQu_ym0Zz7PgGX0-kHA/edit?usp=sharing"",""แผน!AY77"")"),0)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IFERROR(__xludf.DUMMYFUNCTION("IMPORTRANGE(""https://docs.google.com/spreadsheets/d/1QqKyyYR6Q21VydFLVH3TRQUabQu_ym0Zz7PgGX0-kHA/edit?usp=sharing"",""แผน!BE77"")"),0)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IFERROR(__xludf.DUMMYFUNCTION("IMPORTRANGE(""https://docs.google.com/spreadsheets/d/1QqKyyYR6Q21VydFLVH3TRQUabQu_ym0Zz7PgGX0-kHA/edit?usp=sharing"",""แผน!AZ77"")"),0)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IFERROR(__xludf.DUMMYFUNCTION("IMPORTRANGE(""https://docs.google.com/spreadsheets/d/1QqKyyYR6Q21VydFLVH3TRQUabQu_ym0Zz7PgGX0-kHA/edit?usp=sharing"",""แผน!BA77"")"),0)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IFERROR(__xludf.DUMMYFUNCTION("IMPORTRANGE(""https://docs.google.com/spreadsheets/d/1QqKyyYR6Q21VydFLVH3TRQUabQu_ym0Zz7PgGX0-kHA/edit?usp=sharing"",""แผน!BB77"")"),0)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IFERROR(__xludf.DUMMYFUNCTION("IMPORTRANGE(""https://docs.google.com/spreadsheets/d/1QqKyyYR6Q21VydFLVH3TRQUabQu_ym0Zz7PgGX0-kHA/edit?usp=sharing"",""แผน!BC77"")"),0)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IFERROR(__xludf.DUMMYFUNCTION("IMPORTRANGE(""https://docs.google.com/spreadsheets/d/1QqKyyYR6Q21VydFLVH3TRQUabQu_ym0Zz7PgGX0-kHA/edit?usp=sharing"",""แผน!BF77"")"),0)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IFERROR(__xludf.DUMMYFUNCTION("IMPORTRANGE(""https://docs.google.com/spreadsheets/d/1MeEWN-I1oV_STSDYn1IFDPWt_1FKiwhDph83XaGc0o0/edit?usp=sharing"",""งบพรบ!CY77"")"),26900)</f>
        <v>26900</v>
      </c>
      <c r="M266" s="93">
        <f ca="1">IFERROR(__xludf.DUMMYFUNCTION("IMPORTRANGE(""https://docs.google.com/spreadsheets/d/1MeEWN-I1oV_STSDYn1IFDPWt_1FKiwhDph83XaGc0o0/edit?usp=sharing"",""งบพรบ!DD77"")"),23900)</f>
        <v>23900</v>
      </c>
      <c r="N266" s="93">
        <f ca="1">IFERROR(__xludf.DUMMYFUNCTION("IMPORTRANGE(""https://docs.google.com/spreadsheets/d/1MeEWN-I1oV_STSDYn1IFDPWt_1FKiwhDph83XaGc0o0/edit?usp=sharing"",""งบพรบ!DF77"")"),0)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IFERROR(__xludf.DUMMYFUNCTION("IMPORTRANGE(""https://docs.google.com/spreadsheets/d/1MeEWN-I1oV_STSDYn1IFDPWt_1FKiwhDph83XaGc0o0/edit?usp=sharing"",""งบพรบ!DB77"")"),0)</f>
        <v>0</v>
      </c>
      <c r="M269" s="93">
        <f ca="1">IFERROR(__xludf.DUMMYFUNCTION("IMPORTRANGE(""https://docs.google.com/spreadsheets/d/1MeEWN-I1oV_STSDYn1IFDPWt_1FKiwhDph83XaGc0o0/edit?usp=sharing"",""งบพรบ!DE77"")"),0)</f>
        <v>0</v>
      </c>
      <c r="N269" s="93">
        <f ca="1">IFERROR(__xludf.DUMMYFUNCTION("IMPORTRANGE(""https://docs.google.com/spreadsheets/d/1MeEWN-I1oV_STSDYn1IFDPWt_1FKiwhDph83XaGc0o0/edit?usp=sharing"",""งบพรบ!DG77"")"),0)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IFERROR(__xludf.DUMMYFUNCTION("IMPORTRANGE(""https://docs.google.com/spreadsheets/d/1QqKyyYR6Q21VydFLVH3TRQUabQu_ym0Zz7PgGX0-kHA/edit?usp=sharing"",""แผน!EA77"")"),22)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IFERROR(__xludf.DUMMYFUNCTION("IMPORTRANGE(""https://docs.google.com/spreadsheets/d/1MeEWN-I1oV_STSDYn1IFDPWt_1FKiwhDph83XaGc0o0/edit?usp=sharing"",""งบพรบ!DI77"")"),0)</f>
        <v>0</v>
      </c>
      <c r="M282" s="93">
        <f ca="1">IFERROR(__xludf.DUMMYFUNCTION("IMPORTRANGE(""https://docs.google.com/spreadsheets/d/1MeEWN-I1oV_STSDYn1IFDPWt_1FKiwhDph83XaGc0o0/edit?usp=sharing"",""งบพรบ!DN77"")"),0)</f>
        <v>0</v>
      </c>
      <c r="N282" s="93">
        <f ca="1">IFERROR(__xludf.DUMMYFUNCTION("IMPORTRANGE(""https://docs.google.com/spreadsheets/d/1MeEWN-I1oV_STSDYn1IFDPWt_1FKiwhDph83XaGc0o0/edit?usp=sharing"",""งบพรบ!DP77"")"),0)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IFERROR(__xludf.DUMMYFUNCTION("IMPORTRANGE(""https://docs.google.com/spreadsheets/d/1MeEWN-I1oV_STSDYn1IFDPWt_1FKiwhDph83XaGc0o0/edit?usp=sharing"",""งบพรบ!DL77"")"),0)</f>
        <v>0</v>
      </c>
      <c r="M285" s="93">
        <f ca="1">IFERROR(__xludf.DUMMYFUNCTION("IMPORTRANGE(""https://docs.google.com/spreadsheets/d/1MeEWN-I1oV_STSDYn1IFDPWt_1FKiwhDph83XaGc0o0/edit?usp=sharing"",""งบพรบ!DO77"")"),0)</f>
        <v>0</v>
      </c>
      <c r="N285" s="93">
        <f ca="1">IFERROR(__xludf.DUMMYFUNCTION("IMPORTRANGE(""https://docs.google.com/spreadsheets/d/1MeEWN-I1oV_STSDYn1IFDPWt_1FKiwhDph83XaGc0o0/edit?usp=sharing"",""งบพรบ!DQ77"")"),0)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IFERROR(__xludf.DUMMYFUNCTION("IMPORTRANGE(""https://docs.google.com/spreadsheets/d/1QqKyyYR6Q21VydFLVH3TRQUabQu_ym0Zz7PgGX0-kHA/edit?usp=sharing"",""แผน!EC77"")"),0)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IFERROR(__xludf.DUMMYFUNCTION("IMPORTRANGE(""https://docs.google.com/spreadsheets/d/1QqKyyYR6Q21VydFLVH3TRQUabQu_ym0Zz7PgGX0-kHA/edit?usp=sharing"",""แผน!EB77"")"),0)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IFERROR(__xludf.DUMMYFUNCTION("IMPORTRANGE(""https://docs.google.com/spreadsheets/d/1QqKyyYR6Q21VydFLVH3TRQUabQu_ym0Zz7PgGX0-kHA/edit?usp=sharing"",""แผน!EB77"")"),0)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IFERROR(__xludf.DUMMYFUNCTION("IMPORTRANGE(""https://docs.google.com/spreadsheets/d/1QqKyyYR6Q21VydFLVH3TRQUabQu_ym0Zz7PgGX0-kHA/edit?usp=sharing"",""แผน!EB77"")"),0)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IFERROR(__xludf.DUMMYFUNCTION("IMPORTRANGE(""https://docs.google.com/spreadsheets/d/1QqKyyYR6Q21VydFLVH3TRQUabQu_ym0Zz7PgGX0-kHA/edit?usp=sharing"",""แผน!EB77"")"),0)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IFERROR(__xludf.DUMMYFUNCTION("IMPORTRANGE(""https://docs.google.com/spreadsheets/d/1QqKyyYR6Q21VydFLVH3TRQUabQu_ym0Zz7PgGX0-kHA/edit?usp=sharing"",""แผน!EB77"")"),0)</f>
        <v>0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IFERROR(__xludf.DUMMYFUNCTION("IMPORTRANGE(""https://docs.google.com/spreadsheets/d/1MeEWN-I1oV_STSDYn1IFDPWt_1FKiwhDph83XaGc0o0/edit?usp=sharing"",""งบพรบ!DS77"")"),0)</f>
        <v>0</v>
      </c>
      <c r="M303" s="93">
        <f ca="1">IFERROR(__xludf.DUMMYFUNCTION("IMPORTRANGE(""https://docs.google.com/spreadsheets/d/1MeEWN-I1oV_STSDYn1IFDPWt_1FKiwhDph83XaGc0o0/edit?usp=sharing"",""งบพรบ!DX77"")"),0)</f>
        <v>0</v>
      </c>
      <c r="N303" s="93">
        <f ca="1">IFERROR(__xludf.DUMMYFUNCTION("IMPORTRANGE(""https://docs.google.com/spreadsheets/d/1MeEWN-I1oV_STSDYn1IFDPWt_1FKiwhDph83XaGc0o0/edit?usp=sharing"",""งบพรบ!DZ77"")"),0)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IFERROR(__xludf.DUMMYFUNCTION("IMPORTRANGE(""https://docs.google.com/spreadsheets/d/1MeEWN-I1oV_STSDYn1IFDPWt_1FKiwhDph83XaGc0o0/edit?usp=sharing"",""งบพรบ!DV77"")"),0)</f>
        <v>0</v>
      </c>
      <c r="M306" s="93">
        <f ca="1">IFERROR(__xludf.DUMMYFUNCTION("IMPORTRANGE(""https://docs.google.com/spreadsheets/d/1MeEWN-I1oV_STSDYn1IFDPWt_1FKiwhDph83XaGc0o0/edit?usp=sharing"",""งบพรบ!DY77"")"),0)</f>
        <v>0</v>
      </c>
      <c r="N306" s="93">
        <f ca="1">IFERROR(__xludf.DUMMYFUNCTION("IMPORTRANGE(""https://docs.google.com/spreadsheets/d/1MeEWN-I1oV_STSDYn1IFDPWt_1FKiwhDph83XaGc0o0/edit?usp=sharing"",""งบพรบ!EA77"")"),0)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IFERROR(__xludf.DUMMYFUNCTION("IMPORTRANGE(""https://docs.google.com/spreadsheets/d/1QqKyyYR6Q21VydFLVH3TRQUabQu_ym0Zz7PgGX0-kHA/edit?usp=sharing"",""แผน!ED77"")"),0)</f>
        <v>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IFERROR(__xludf.DUMMYFUNCTION("IMPORTRANGE(""https://docs.google.com/spreadsheets/d/1QqKyyYR6Q21VydFLVH3TRQUabQu_ym0Zz7PgGX0-kHA/edit?usp=sharing"",""แผน!ED77"")"),0)</f>
        <v>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IFERROR(__xludf.DUMMYFUNCTION("IMPORTRANGE(""https://docs.google.com/spreadsheets/d/1QqKyyYR6Q21VydFLVH3TRQUabQu_ym0Zz7PgGX0-kHA/edit?usp=sharing"",""แผน!ED77"")"),0)</f>
        <v>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IFERROR(__xludf.DUMMYFUNCTION("IMPORTRANGE(""https://docs.google.com/spreadsheets/d/1QqKyyYR6Q21VydFLVH3TRQUabQu_ym0Zz7PgGX0-kHA/edit?usp=sharing"",""แผน!EE77"")"),0)</f>
        <v>0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IFERROR(__xludf.DUMMYFUNCTION("IMPORTRANGE(""https://docs.google.com/spreadsheets/d/1MeEWN-I1oV_STSDYn1IFDPWt_1FKiwhDph83XaGc0o0/edit?usp=sharing"",""งบพรบ!EC77"")"),0)</f>
        <v>0</v>
      </c>
      <c r="M320" s="93">
        <f ca="1">IFERROR(__xludf.DUMMYFUNCTION("IMPORTRANGE(""https://docs.google.com/spreadsheets/d/1MeEWN-I1oV_STSDYn1IFDPWt_1FKiwhDph83XaGc0o0/edit?usp=sharing"",""งบพรบ!EH77"")"),0)</f>
        <v>0</v>
      </c>
      <c r="N320" s="93">
        <f ca="1">IFERROR(__xludf.DUMMYFUNCTION("IMPORTRANGE(""https://docs.google.com/spreadsheets/d/1MeEWN-I1oV_STSDYn1IFDPWt_1FKiwhDph83XaGc0o0/edit?usp=sharing"",""งบพรบ!EJ77"")"),0)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IFERROR(__xludf.DUMMYFUNCTION("IMPORTRANGE(""https://docs.google.com/spreadsheets/d/1MeEWN-I1oV_STSDYn1IFDPWt_1FKiwhDph83XaGc0o0/edit?usp=sharing"",""งบพรบ!EF77"")"),0)</f>
        <v>0</v>
      </c>
      <c r="M323" s="93">
        <f ca="1">IFERROR(__xludf.DUMMYFUNCTION("IMPORTRANGE(""https://docs.google.com/spreadsheets/d/1MeEWN-I1oV_STSDYn1IFDPWt_1FKiwhDph83XaGc0o0/edit?usp=sharing"",""งบพรบ!EI77"")"),0)</f>
        <v>0</v>
      </c>
      <c r="N323" s="93">
        <f ca="1">IFERROR(__xludf.DUMMYFUNCTION("IMPORTRANGE(""https://docs.google.com/spreadsheets/d/1MeEWN-I1oV_STSDYn1IFDPWt_1FKiwhDph83XaGc0o0/edit?usp=sharing"",""งบพรบ!EK77"")"),0)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IFERROR(__xludf.DUMMYFUNCTION("IMPORTRANGE(""https://docs.google.com/spreadsheets/d/1QqKyyYR6Q21VydFLVH3TRQUabQu_ym0Zz7PgGX0-kHA/edit?usp=sharing"",""แผน!EF77"")"),0)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IFERROR(__xludf.DUMMYFUNCTION("IMPORTRANGE(""https://docs.google.com/spreadsheets/d/1QqKyyYR6Q21VydFLVH3TRQUabQu_ym0Zz7PgGX0-kHA/edit?usp=sharing"",""แผน!EG77"")"),1700)</f>
        <v>1700</v>
      </c>
      <c r="J327" s="444">
        <f ca="1">J338+J341+J342+J343</f>
        <v>1289</v>
      </c>
      <c r="K327" s="445">
        <f ca="1">IF(I327&gt;0,J327*100/I327,0)</f>
        <v>75.82352941176471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83000</v>
      </c>
      <c r="N328" s="155">
        <f t="shared" ca="1" si="149"/>
        <v>44397.760000000002</v>
      </c>
      <c r="O328" s="155">
        <f t="shared" ref="O328:O336" ca="1" si="150">IF(L328&gt;0,N328*100/L328,0)</f>
        <v>26.745638554216868</v>
      </c>
      <c r="P328" s="155">
        <f t="shared" ref="P328:P336" ca="1" si="151">IF(M328&gt;0,N328*100/M328,0)</f>
        <v>53.491277108433735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166000</v>
      </c>
      <c r="M330" s="93">
        <f t="shared" ca="1" si="152"/>
        <v>83000</v>
      </c>
      <c r="N330" s="93">
        <f t="shared" ca="1" si="152"/>
        <v>44397.760000000002</v>
      </c>
      <c r="O330" s="93">
        <f t="shared" ca="1" si="150"/>
        <v>26.745638554216868</v>
      </c>
      <c r="P330" s="93">
        <f t="shared" ca="1" si="151"/>
        <v>53.491277108433735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83000</v>
      </c>
      <c r="N331" s="497">
        <f t="shared" ca="1" si="153"/>
        <v>44397.760000000002</v>
      </c>
      <c r="O331" s="497">
        <f t="shared" ca="1" si="150"/>
        <v>26.745638554216868</v>
      </c>
      <c r="P331" s="497">
        <f t="shared" ca="1" si="151"/>
        <v>53.491277108433735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IFERROR(__xludf.DUMMYFUNCTION("IMPORTRANGE(""https://docs.google.com/spreadsheets/d/1MeEWN-I1oV_STSDYn1IFDPWt_1FKiwhDph83XaGc0o0/edit?usp=sharing"",""งบพรบ!EM77"")"),166000)</f>
        <v>166000</v>
      </c>
      <c r="M333" s="93">
        <f ca="1">IFERROR(__xludf.DUMMYFUNCTION("IMPORTRANGE(""https://docs.google.com/spreadsheets/d/1MeEWN-I1oV_STSDYn1IFDPWt_1FKiwhDph83XaGc0o0/edit?usp=sharing"",""งบพรบ!ER77"")"),83000)</f>
        <v>83000</v>
      </c>
      <c r="N333" s="93">
        <f ca="1">IFERROR(__xludf.DUMMYFUNCTION("IMPORTRANGE(""https://docs.google.com/spreadsheets/d/1MeEWN-I1oV_STSDYn1IFDPWt_1FKiwhDph83XaGc0o0/edit?usp=sharing"",""งบพรบ!ET77"")"),44397.76)</f>
        <v>44397.760000000002</v>
      </c>
      <c r="O333" s="93">
        <f t="shared" ca="1" si="150"/>
        <v>26.745638554216868</v>
      </c>
      <c r="P333" s="93">
        <f t="shared" ca="1" si="151"/>
        <v>53.491277108433735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IFERROR(__xludf.DUMMYFUNCTION("IMPORTRANGE(""https://docs.google.com/spreadsheets/d/1MeEWN-I1oV_STSDYn1IFDPWt_1FKiwhDph83XaGc0o0/edit?usp=sharing"",""งบพรบ!EP77"")"),0)</f>
        <v>0</v>
      </c>
      <c r="M336" s="93">
        <f ca="1">IFERROR(__xludf.DUMMYFUNCTION("IMPORTRANGE(""https://docs.google.com/spreadsheets/d/1MeEWN-I1oV_STSDYn1IFDPWt_1FKiwhDph83XaGc0o0/edit?usp=sharing"",""งบพรบ!ES77"")"),0)</f>
        <v>0</v>
      </c>
      <c r="N336" s="93">
        <f ca="1">IFERROR(__xludf.DUMMYFUNCTION("IMPORTRANGE(""https://docs.google.com/spreadsheets/d/1MeEWN-I1oV_STSDYn1IFDPWt_1FKiwhDph83XaGc0o0/edit?usp=sharing"",""งบพรบ!EU77"")"),0)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IFERROR(__xludf.DUMMYFUNCTION("IMPORTRANGE(""https://docs.google.com/spreadsheets/d/1QqKyyYR6Q21VydFLVH3TRQUabQu_ym0Zz7PgGX0-kHA/edit?usp=sharing"",""แผน!EG77"")"),1700)</f>
        <v>1700</v>
      </c>
      <c r="J338" s="269">
        <f ca="1">IFERROR(__xludf.DUMMYFUNCTION("IMPORTRANGE(""https://docs.google.com/spreadsheets/d/1kVcqe37tkHyjCSG3S0O1AXqVkqjo8mSIZil3BcpIysc/edit?usp=sharing"",""ศูนย์!D77"")"),1212)</f>
        <v>1212</v>
      </c>
      <c r="K338" s="497">
        <f ca="1">IF(I338&gt;0,J338*100/I338,0)</f>
        <v>71.294117647058826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IFERROR(__xludf.DUMMYFUNCTION("IMPORTRANGE(""https://docs.google.com/spreadsheets/d/1QqKyyYR6Q21VydFLVH3TRQUabQu_ym0Zz7PgGX0-kHA/edit?usp=sharing"",""แผน!EH77"")"),4)</f>
        <v>4</v>
      </c>
      <c r="J340" s="269">
        <f ca="1">IFERROR(__xludf.DUMMYFUNCTION("IMPORTRANGE(""https://docs.google.com/spreadsheets/d/1kVcqe37tkHyjCSG3S0O1AXqVkqjo8mSIZil3BcpIysc/edit?usp=sharing"",""ศูนย์!E77"")"),1)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IFERROR(__xludf.DUMMYFUNCTION("IMPORTRANGE(""https://docs.google.com/spreadsheets/d/1kVcqe37tkHyjCSG3S0O1AXqVkqjo8mSIZil3BcpIysc/edit?usp=sharing"",""ศูนย์!F77"")"),77)</f>
        <v>77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997600</v>
      </c>
      <c r="M345" s="155">
        <f t="shared" ca="1" si="155"/>
        <v>563600</v>
      </c>
      <c r="N345" s="155">
        <f t="shared" ca="1" si="155"/>
        <v>326522.76</v>
      </c>
      <c r="O345" s="155">
        <f t="shared" ref="O345:O353" ca="1" si="156">IF(L345&gt;0,N345*100/L345,0)</f>
        <v>32.730829991980755</v>
      </c>
      <c r="P345" s="155">
        <f t="shared" ref="P345:P353" ca="1" si="157">IF(M345&gt;0,N345*100/M345,0)</f>
        <v>57.935195173882185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997600</v>
      </c>
      <c r="M347" s="93">
        <f t="shared" ca="1" si="158"/>
        <v>563600</v>
      </c>
      <c r="N347" s="93">
        <f t="shared" ca="1" si="158"/>
        <v>326522.76</v>
      </c>
      <c r="O347" s="93">
        <f t="shared" ca="1" si="156"/>
        <v>32.730829991980755</v>
      </c>
      <c r="P347" s="93">
        <f t="shared" ca="1" si="157"/>
        <v>57.935195173882185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868000</v>
      </c>
      <c r="M348" s="497">
        <f t="shared" ca="1" si="159"/>
        <v>434000</v>
      </c>
      <c r="N348" s="497">
        <f t="shared" ca="1" si="159"/>
        <v>196922.76</v>
      </c>
      <c r="O348" s="497">
        <f t="shared" ca="1" si="156"/>
        <v>22.68695391705069</v>
      </c>
      <c r="P348" s="497">
        <f t="shared" ca="1" si="157"/>
        <v>45.373907834101381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IFERROR(__xludf.DUMMYFUNCTION("IMPORTRANGE(""https://docs.google.com/spreadsheets/d/1MeEWN-I1oV_STSDYn1IFDPWt_1FKiwhDph83XaGc0o0/edit?usp=sharing"",""งบพรบ!EW77"")"),868000)</f>
        <v>868000</v>
      </c>
      <c r="M350" s="93">
        <f ca="1">IFERROR(__xludf.DUMMYFUNCTION("IMPORTRANGE(""https://docs.google.com/spreadsheets/d/1MeEWN-I1oV_STSDYn1IFDPWt_1FKiwhDph83XaGc0o0/edit?usp=sharing"",""งบพรบ!FB77"")"),434000)</f>
        <v>434000</v>
      </c>
      <c r="N350" s="93">
        <f ca="1">IFERROR(__xludf.DUMMYFUNCTION("IMPORTRANGE(""https://docs.google.com/spreadsheets/d/1MeEWN-I1oV_STSDYn1IFDPWt_1FKiwhDph83XaGc0o0/edit?usp=sharing"",""งบพรบ!FD77"")"),196922.76)</f>
        <v>196922.76</v>
      </c>
      <c r="O350" s="93">
        <f t="shared" ca="1" si="156"/>
        <v>22.68695391705069</v>
      </c>
      <c r="P350" s="93">
        <f t="shared" ca="1" si="157"/>
        <v>45.373907834101381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129600</v>
      </c>
      <c r="M351" s="497">
        <f t="shared" ca="1" si="160"/>
        <v>129600</v>
      </c>
      <c r="N351" s="497">
        <f t="shared" ca="1" si="160"/>
        <v>129600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IFERROR(__xludf.DUMMYFUNCTION("IMPORTRANGE(""https://docs.google.com/spreadsheets/d/1MeEWN-I1oV_STSDYn1IFDPWt_1FKiwhDph83XaGc0o0/edit?usp=sharing"",""งบพรบ!EZ77"")"),129600)</f>
        <v>129600</v>
      </c>
      <c r="M353" s="93">
        <f ca="1">IFERROR(__xludf.DUMMYFUNCTION("IMPORTRANGE(""https://docs.google.com/spreadsheets/d/1MeEWN-I1oV_STSDYn1IFDPWt_1FKiwhDph83XaGc0o0/edit?usp=sharing"",""งบพรบ!FC77"")"),129600)</f>
        <v>129600</v>
      </c>
      <c r="N353" s="93">
        <f ca="1">IFERROR(__xludf.DUMMYFUNCTION("IMPORTRANGE(""https://docs.google.com/spreadsheets/d/1MeEWN-I1oV_STSDYn1IFDPWt_1FKiwhDph83XaGc0o0/edit?usp=sharing"",""งบพรบ!FE77"")"),129600)</f>
        <v>129600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IFERROR(__xludf.DUMMYFUNCTION("IMPORTRANGE(""https://docs.google.com/spreadsheets/d/1QqKyyYR6Q21VydFLVH3TRQUabQu_ym0Zz7PgGX0-kHA/edit?usp=sharing"",""แผน!EP77"")"),332)</f>
        <v>332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IFERROR(__xludf.DUMMYFUNCTION("IMPORTRANGE(""https://docs.google.com/spreadsheets/d/1XWAQStnk-4SwqDmLtmXYiTMKHgktTP8We1SCoS47DrQ/edit?usp=sharing"",""จัดที่ดิน!W77"")"),62)</f>
        <v>62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IFERROR(__xludf.DUMMYFUNCTION("IMPORTRANGE(""https://docs.google.com/spreadsheets/d/1QqKyyYR6Q21VydFLVH3TRQUabQu_ym0Zz7PgGX0-kHA/edit?usp=sharing"",""แผน!EO77"")"),2700)</f>
        <v>2700</v>
      </c>
      <c r="J359" s="269">
        <f ca="1">IFERROR(__xludf.DUMMYFUNCTION("IMPORTRANGE(""https://docs.google.com/spreadsheets/d/1XWAQStnk-4SwqDmLtmXYiTMKHgktTP8We1SCoS47DrQ/edit?usp=sharing"",""จัดที่ดิน!X77"")"),497.39)</f>
        <v>497.39</v>
      </c>
      <c r="K359" s="497">
        <f t="shared" ca="1" si="161"/>
        <v>18.421851851851851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IFERROR(__xludf.DUMMYFUNCTION("IMPORTRANGE(""https://docs.google.com/spreadsheets/d/1QqKyyYR6Q21VydFLVH3TRQUabQu_ym0Zz7PgGX0-kHA/edit?usp=sharing"",""แผน!EP77"")"),332)</f>
        <v>332</v>
      </c>
      <c r="J360" s="269">
        <f ca="1">IFERROR(__xludf.DUMMYFUNCTION("IMPORTRANGE(""https://docs.google.com/spreadsheets/d/1XWAQStnk-4SwqDmLtmXYiTMKHgktTP8We1SCoS47DrQ/edit?usp=sharing"",""จัดที่ดิน!Y77"")"),32)</f>
        <v>32</v>
      </c>
      <c r="K360" s="497">
        <f t="shared" ca="1" si="161"/>
        <v>9.6385542168674707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IFERROR(__xludf.DUMMYFUNCTION("IMPORTRANGE(""https://docs.google.com/spreadsheets/d/1XWAQStnk-4SwqDmLtmXYiTMKHgktTP8We1SCoS47DrQ/edit?usp=sharing"",""จัดที่ดิน!Z77"")"),441.36)</f>
        <v>441.36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IFERROR(__xludf.DUMMYFUNCTION("IMPORTRANGE(""https://docs.google.com/spreadsheets/d/1QqKyyYR6Q21VydFLVH3TRQUabQu_ym0Zz7PgGX0-kHA/edit?usp=sharing"",""แผน!EP77"")"),332)</f>
        <v>332</v>
      </c>
      <c r="J362" s="269">
        <f ca="1">IFERROR(__xludf.DUMMYFUNCTION("IMPORTRANGE(""https://docs.google.com/spreadsheets/d/1XWAQStnk-4SwqDmLtmXYiTMKHgktTP8We1SCoS47DrQ/edit?usp=sharing"",""จัดที่ดิน!AA77"")"),0)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IFERROR(__xludf.DUMMYFUNCTION("IMPORTRANGE(""https://docs.google.com/spreadsheets/d/1XWAQStnk-4SwqDmLtmXYiTMKHgktTP8We1SCoS47DrQ/edit?usp=sharing"",""จัดที่ดิน!AB77"")"),0)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502</v>
      </c>
      <c r="J364" s="478">
        <f t="shared" ca="1" si="162"/>
        <v>1</v>
      </c>
      <c r="K364" s="479">
        <f t="shared" ca="1" si="161"/>
        <v>0.19920318725099601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IFERROR(__xludf.DUMMYFUNCTION("IMPORTRANGE(""https://docs.google.com/spreadsheets/d/1QqKyyYR6Q21VydFLVH3TRQUabQu_ym0Zz7PgGX0-kHA/edit?usp=sharing"",""แผน!EJ77"")"),182)</f>
        <v>182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IFERROR(__xludf.DUMMYFUNCTION("IMPORTRANGE(""https://docs.google.com/spreadsheets/d/1XWAQStnk-4SwqDmLtmXYiTMKHgktTP8We1SCoS47DrQ/edit?usp=sharing"",""จัดที่ดิน!E77"")"),46)</f>
        <v>46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IFERROR(__xludf.DUMMYFUNCTION("IMPORTRANGE(""https://docs.google.com/spreadsheets/d/1QqKyyYR6Q21VydFLVH3TRQUabQu_ym0Zz7PgGX0-kHA/edit?usp=sharing"",""แผน!EI77"")"),1300)</f>
        <v>1300</v>
      </c>
      <c r="J369" s="269">
        <f ca="1">IFERROR(__xludf.DUMMYFUNCTION("IMPORTRANGE(""https://docs.google.com/spreadsheets/d/1XWAQStnk-4SwqDmLtmXYiTMKHgktTP8We1SCoS47DrQ/edit?usp=sharing"",""จัดที่ดิน!F77"")"),412.67)</f>
        <v>412.67</v>
      </c>
      <c r="K369" s="497">
        <f t="shared" ca="1" si="163"/>
        <v>31.743846153846153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IFERROR(__xludf.DUMMYFUNCTION("IMPORTRANGE(""https://docs.google.com/spreadsheets/d/1QqKyyYR6Q21VydFLVH3TRQUabQu_ym0Zz7PgGX0-kHA/edit?usp=sharing"",""แผน!EJ77"")"),182)</f>
        <v>182</v>
      </c>
      <c r="J370" s="269">
        <f ca="1">IFERROR(__xludf.DUMMYFUNCTION("IMPORTRANGE(""https://docs.google.com/spreadsheets/d/1XWAQStnk-4SwqDmLtmXYiTMKHgktTP8We1SCoS47DrQ/edit?usp=sharing"",""จัดที่ดิน!G77"")"),32)</f>
        <v>32</v>
      </c>
      <c r="K370" s="497">
        <f t="shared" ca="1" si="163"/>
        <v>17.582417582417584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IFERROR(__xludf.DUMMYFUNCTION("IMPORTRANGE(""https://docs.google.com/spreadsheets/d/1XWAQStnk-4SwqDmLtmXYiTMKHgktTP8We1SCoS47DrQ/edit?usp=sharing"",""จัดที่ดิน!H77"")"),441.36)</f>
        <v>441.36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IFERROR(__xludf.DUMMYFUNCTION("IMPORTRANGE(""https://docs.google.com/spreadsheets/d/1QqKyyYR6Q21VydFLVH3TRQUabQu_ym0Zz7PgGX0-kHA/edit?usp=sharing"",""แผน!EJ77"")"),182)</f>
        <v>182</v>
      </c>
      <c r="J372" s="269">
        <f ca="1">IFERROR(__xludf.DUMMYFUNCTION("IMPORTRANGE(""https://docs.google.com/spreadsheets/d/1XWAQStnk-4SwqDmLtmXYiTMKHgktTP8We1SCoS47DrQ/edit?usp=sharing"",""จัดที่ดิน!I77"")"),0)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IFERROR(__xludf.DUMMYFUNCTION("IMPORTRANGE(""https://docs.google.com/spreadsheets/d/1XWAQStnk-4SwqDmLtmXYiTMKHgktTP8We1SCoS47DrQ/edit?usp=sharing"",""จัดที่ดิน!J77"")"),0)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IFERROR(__xludf.DUMMYFUNCTION("IMPORTRANGE(""https://docs.google.com/spreadsheets/d/1QqKyyYR6Q21VydFLVH3TRQUabQu_ym0Zz7PgGX0-kHA/edit?usp=sharing"",""แผน!EU77"")"),320)</f>
        <v>320</v>
      </c>
      <c r="J374" s="490">
        <f ca="1">J381</f>
        <v>1</v>
      </c>
      <c r="K374" s="491">
        <f t="shared" ca="1" si="163"/>
        <v>0.3125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IFERROR(__xludf.DUMMYFUNCTION("IMPORTRANGE(""https://docs.google.com/spreadsheets/d/1XWAQStnk-4SwqDmLtmXYiTMKHgktTP8We1SCoS47DrQ/edit?usp=sharing"",""จัดที่ดิน!AH77"")"),16)</f>
        <v>16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IFERROR(__xludf.DUMMYFUNCTION("IMPORTRANGE(""https://docs.google.com/spreadsheets/d/1QqKyyYR6Q21VydFLVH3TRQUabQu_ym0Zz7PgGX0-kHA/edit?usp=sharing"",""แผน!ET77"")"),1400)</f>
        <v>1400</v>
      </c>
      <c r="J378" s="269">
        <f ca="1">IFERROR(__xludf.DUMMYFUNCTION("IMPORTRANGE(""https://docs.google.com/spreadsheets/d/1XWAQStnk-4SwqDmLtmXYiTMKHgktTP8We1SCoS47DrQ/edit?usp=sharing"",""จัดที่ดิน!AI77"")"),84.72)</f>
        <v>84.72</v>
      </c>
      <c r="K378" s="497">
        <f t="shared" ca="1" si="164"/>
        <v>6.0514285714285716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IFERROR(__xludf.DUMMYFUNCTION("IMPORTRANGE(""https://docs.google.com/spreadsheets/d/1QqKyyYR6Q21VydFLVH3TRQUabQu_ym0Zz7PgGX0-kHA/edit?usp=sharing"",""แผน!EU77"")"),320)</f>
        <v>320</v>
      </c>
      <c r="J379" s="269">
        <f ca="1">IFERROR(__xludf.DUMMYFUNCTION("IMPORTRANGE(""https://docs.google.com/spreadsheets/d/1XWAQStnk-4SwqDmLtmXYiTMKHgktTP8We1SCoS47DrQ/edit?usp=sharing"",""จัดที่ดิน!AJ77"")"),1)</f>
        <v>1</v>
      </c>
      <c r="K379" s="497">
        <f t="shared" ca="1" si="164"/>
        <v>0.3125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IFERROR(__xludf.DUMMYFUNCTION("IMPORTRANGE(""https://docs.google.com/spreadsheets/d/1XWAQStnk-4SwqDmLtmXYiTMKHgktTP8We1SCoS47DrQ/edit?usp=sharing"",""จัดที่ดิน!AK77"")"),25.99)</f>
        <v>25.99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IFERROR(__xludf.DUMMYFUNCTION("IMPORTRANGE(""https://docs.google.com/spreadsheets/d/1QqKyyYR6Q21VydFLVH3TRQUabQu_ym0Zz7PgGX0-kHA/edit?usp=sharing"",""แผน!EU77"")"),320)</f>
        <v>320</v>
      </c>
      <c r="J381" s="269">
        <f ca="1">IFERROR(__xludf.DUMMYFUNCTION("IMPORTRANGE(""https://docs.google.com/spreadsheets/d/1XWAQStnk-4SwqDmLtmXYiTMKHgktTP8We1SCoS47DrQ/edit?usp=sharing"",""จัดที่ดิน!AL77"")"),1)</f>
        <v>1</v>
      </c>
      <c r="K381" s="497">
        <f t="shared" ca="1" si="164"/>
        <v>0.3125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IFERROR(__xludf.DUMMYFUNCTION("IMPORTRANGE(""https://docs.google.com/spreadsheets/d/1XWAQStnk-4SwqDmLtmXYiTMKHgktTP8We1SCoS47DrQ/edit?usp=sharing"",""จัดที่ดิน!AM77"")"),25.99)</f>
        <v>25.99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IFERROR(__xludf.DUMMYFUNCTION("IMPORTRANGE(""https://docs.google.com/spreadsheets/d/1QqKyyYR6Q21VydFLVH3TRQUabQu_ym0Zz7PgGX0-kHA/edit?usp=sharing"",""แผน!EW77"")"),20)</f>
        <v>20</v>
      </c>
      <c r="J385" s="500">
        <f ca="1">IFERROR(__xludf.DUMMYFUNCTION("IMPORTRANGE(""https://docs.google.com/spreadsheets/d/1XWAQStnk-4SwqDmLtmXYiTMKHgktTP8We1SCoS47DrQ/edit?usp=sharing"",""จัดที่ดิน!AP77"")"),0)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IFERROR(__xludf.DUMMYFUNCTION("IMPORTRANGE(""https://docs.google.com/spreadsheets/d/1MeEWN-I1oV_STSDYn1IFDPWt_1FKiwhDph83XaGc0o0/edit?usp=sharing"",""งบพรบ!FG77"")"),0)</f>
        <v>0</v>
      </c>
      <c r="M394" s="93">
        <f ca="1">IFERROR(__xludf.DUMMYFUNCTION("IMPORTRANGE(""https://docs.google.com/spreadsheets/d/1MeEWN-I1oV_STSDYn1IFDPWt_1FKiwhDph83XaGc0o0/edit?usp=sharing"",""งบพรบ!FL77"")"),0)</f>
        <v>0</v>
      </c>
      <c r="N394" s="93">
        <f ca="1">IFERROR(__xludf.DUMMYFUNCTION("IMPORTRANGE(""https://docs.google.com/spreadsheets/d/1MeEWN-I1oV_STSDYn1IFDPWt_1FKiwhDph83XaGc0o0/edit?usp=sharing"",""งบพรบ!FN77"")"),0)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IFERROR(__xludf.DUMMYFUNCTION("IMPORTRANGE(""https://docs.google.com/spreadsheets/d/1MeEWN-I1oV_STSDYn1IFDPWt_1FKiwhDph83XaGc0o0/edit?usp=sharing"",""งบพรบ!FJ77"")"),0)</f>
        <v>0</v>
      </c>
      <c r="M397" s="93">
        <f ca="1">IFERROR(__xludf.DUMMYFUNCTION("IMPORTRANGE(""https://docs.google.com/spreadsheets/d/1MeEWN-I1oV_STSDYn1IFDPWt_1FKiwhDph83XaGc0o0/edit?usp=sharing"",""งบพรบ!FM77"")"),0)</f>
        <v>0</v>
      </c>
      <c r="N397" s="93">
        <f ca="1">IFERROR(__xludf.DUMMYFUNCTION("IMPORTRANGE(""https://docs.google.com/spreadsheets/d/1MeEWN-I1oV_STSDYn1IFDPWt_1FKiwhDph83XaGc0o0/edit?usp=sharing"",""งบพรบ!FO77"")"),0)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IFERROR(__xludf.DUMMYFUNCTION("IMPORTRANGE(""https://docs.google.com/spreadsheets/d/1MeEWN-I1oV_STSDYn1IFDPWt_1FKiwhDph83XaGc0o0/edit?usp=sharing"",""งบพรบ!FQ77"")"),0)</f>
        <v>0</v>
      </c>
      <c r="M407" s="93">
        <f ca="1">IFERROR(__xludf.DUMMYFUNCTION("IMPORTRANGE(""https://docs.google.com/spreadsheets/d/1MeEWN-I1oV_STSDYn1IFDPWt_1FKiwhDph83XaGc0o0/edit?usp=sharing"",""งบพรบ!FV77"")"),0)</f>
        <v>0</v>
      </c>
      <c r="N407" s="93">
        <f ca="1">IFERROR(__xludf.DUMMYFUNCTION("IMPORTRANGE(""https://docs.google.com/spreadsheets/d/1MeEWN-I1oV_STSDYn1IFDPWt_1FKiwhDph83XaGc0o0/edit?usp=sharing"",""งบพรบ!FX77"")"),0)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IFERROR(__xludf.DUMMYFUNCTION("IMPORTRANGE(""https://docs.google.com/spreadsheets/d/1MeEWN-I1oV_STSDYn1IFDPWt_1FKiwhDph83XaGc0o0/edit?usp=sharing"",""งบพรบ!FT77"")"),0)</f>
        <v>0</v>
      </c>
      <c r="M410" s="93">
        <f ca="1">IFERROR(__xludf.DUMMYFUNCTION("IMPORTRANGE(""https://docs.google.com/spreadsheets/d/1MeEWN-I1oV_STSDYn1IFDPWt_1FKiwhDph83XaGc0o0/edit?usp=sharing"",""งบพรบ!FW77"")"),0)</f>
        <v>0</v>
      </c>
      <c r="N410" s="93">
        <f ca="1">IFERROR(__xludf.DUMMYFUNCTION("IMPORTRANGE(""https://docs.google.com/spreadsheets/d/1MeEWN-I1oV_STSDYn1IFDPWt_1FKiwhDph83XaGc0o0/edit?usp=sharing"",""งบพรบ!FY77"")"),0)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745872</v>
      </c>
      <c r="M414" s="548">
        <f t="shared" si="181"/>
        <v>0</v>
      </c>
      <c r="N414" s="548">
        <f t="shared" si="181"/>
        <v>39920</v>
      </c>
      <c r="O414" s="548">
        <f ca="1">IF(L414&gt;0,N414*100/L414,0)</f>
        <v>5.3521247613531546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15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si="188"/>
        <v>0</v>
      </c>
      <c r="N422" s="497">
        <f t="shared" si="188"/>
        <v>0</v>
      </c>
      <c r="O422" s="497">
        <f t="shared" ca="1" si="185"/>
        <v>0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IFERROR(__xludf.DUMMYFUNCTION("IMPORTRANGE(""https://docs.google.com/spreadsheets/d/1QqKyyYR6Q21VydFLVH3TRQUabQu_ym0Zz7PgGX0-kHA/edit?usp=sharing"",""แผน!EY77"")"),66560)</f>
        <v>66560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IFERROR(__xludf.DUMMYFUNCTION("IMPORTRANGE(""https://docs.google.com/spreadsheets/d/1QqKyyYR6Q21VydFLVH3TRQUabQu_ym0Zz7PgGX0-kHA/edit?usp=sharing"",""แผน!FC77"")"),15)</f>
        <v>15</v>
      </c>
      <c r="J435" s="578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IFERROR(__xludf.DUMMYFUNCTION("IMPORTRANGE(""https://docs.google.com/spreadsheets/d/1QqKyyYR6Q21VydFLVH3TRQUabQu_ym0Zz7PgGX0-kHA/edit?usp=sharing"",""แผน!FD77"")"),0)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IFERROR(__xludf.DUMMYFUNCTION("IMPORTRANGE(""https://docs.google.com/spreadsheets/d/1QqKyyYR6Q21VydFLVH3TRQUabQu_ym0Zz7PgGX0-kHA/edit?usp=sharing"",""แผน!FE77"")"),0)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IFERROR(__xludf.DUMMYFUNCTION("IMPORTRANGE(""https://docs.google.com/spreadsheets/d/1QqKyyYR6Q21VydFLVH3TRQUabQu_ym0Zz7PgGX0-kHA/edit?usp=sharing"",""แผน!FF77"")"),15)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IFERROR(__xludf.DUMMYFUNCTION("IMPORTRANGE(""https://docs.google.com/spreadsheets/d/1QqKyyYR6Q21VydFLVH3TRQUabQu_ym0Zz7PgGX0-kHA/edit?usp=sharing"",""แผน!FG77"")"),1)</f>
        <v>1</v>
      </c>
      <c r="J440" s="214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IFERROR(__xludf.DUMMYFUNCTION("IMPORTRANGE(""https://docs.google.com/spreadsheets/d/1QqKyyYR6Q21VydFLVH3TRQUabQu_ym0Zz7PgGX0-kHA/edit?usp=sharing"",""แผน!FH77"")"),0)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30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87960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87960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87960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IFERROR(__xludf.DUMMYFUNCTION("IMPORTRANGE(""https://docs.google.com/spreadsheets/d/1QqKyyYR6Q21VydFLVH3TRQUabQu_ym0Zz7PgGX0-kHA/edit?usp=sharing"",""แผน!FJ77"")"),87960)</f>
        <v>87960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IFERROR(__xludf.DUMMYFUNCTION("IMPORTRANGE(""https://docs.google.com/spreadsheets/d/1QqKyyYR6Q21VydFLVH3TRQUabQu_ym0Zz7PgGX0-kHA/edit?usp=sharing"",""แผน!FN77"")"),10)</f>
        <v>10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IFERROR(__xludf.DUMMYFUNCTION("IMPORTRANGE(""https://docs.google.com/spreadsheets/d/1QqKyyYR6Q21VydFLVH3TRQUabQu_ym0Zz7PgGX0-kHA/edit?usp=sharing"",""แผน!FO77"")"),30)</f>
        <v>30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IFERROR(__xludf.DUMMYFUNCTION("IMPORTRANGE(""https://docs.google.com/spreadsheets/d/1QqKyyYR6Q21VydFLVH3TRQUabQu_ym0Zz7PgGX0-kHA/edit?usp=sharing"",""แผน!FO77"")"),30)</f>
        <v>30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IFERROR(__xludf.DUMMYFUNCTION("IMPORTRANGE(""https://docs.google.com/spreadsheets/d/1QqKyyYR6Q21VydFLVH3TRQUabQu_ym0Zz7PgGX0-kHA/edit?usp=sharing"",""แผน!FN77"")"),10)</f>
        <v>10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IFERROR(__xludf.DUMMYFUNCTION("IMPORTRANGE(""https://docs.google.com/spreadsheets/d/1QqKyyYR6Q21VydFLVH3TRQUabQu_ym0Zz7PgGX0-kHA/edit?usp=sharing"",""แผน!FX77"")"),41)</f>
        <v>41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IFERROR(__xludf.DUMMYFUNCTION("IMPORTRANGE(""https://docs.google.com/spreadsheets/d/1QqKyyYR6Q21VydFLVH3TRQUabQu_ym0Zz7PgGX0-kHA/edit?usp=sharing"",""แผน!FW77"")"),400)</f>
        <v>400</v>
      </c>
      <c r="J466" s="564">
        <f>J483+J487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327863</v>
      </c>
      <c r="M467" s="195">
        <f t="shared" si="206"/>
        <v>0</v>
      </c>
      <c r="N467" s="195">
        <f t="shared" si="206"/>
        <v>12720</v>
      </c>
      <c r="O467" s="195">
        <f t="shared" ref="O467:O472" ca="1" si="207">IF(L467&gt;0,N467*100/L467,0)</f>
        <v>3.87966925209615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327863</v>
      </c>
      <c r="M469" s="93">
        <f t="shared" si="209"/>
        <v>0</v>
      </c>
      <c r="N469" s="93">
        <f t="shared" si="209"/>
        <v>12720</v>
      </c>
      <c r="O469" s="93">
        <f t="shared" ca="1" si="207"/>
        <v>3.87966925209615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327863</v>
      </c>
      <c r="M470" s="497">
        <f t="shared" si="210"/>
        <v>0</v>
      </c>
      <c r="N470" s="497">
        <f t="shared" si="210"/>
        <v>12720</v>
      </c>
      <c r="O470" s="497">
        <f t="shared" ca="1" si="207"/>
        <v>3.87966925209615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IFERROR(__xludf.DUMMYFUNCTION("IMPORTRANGE(""https://docs.google.com/spreadsheets/d/1QqKyyYR6Q21VydFLVH3TRQUabQu_ym0Zz7PgGX0-kHA/edit?usp=sharing"",""แผน!FS77"")"),327863)</f>
        <v>327863</v>
      </c>
      <c r="M472" s="93">
        <v>0</v>
      </c>
      <c r="N472" s="93">
        <f>N473+N474+N475+N476</f>
        <v>12720</v>
      </c>
      <c r="O472" s="93">
        <f t="shared" ca="1" si="207"/>
        <v>3.87966925209615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12720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IFERROR(__xludf.DUMMYFUNCTION("IMPORTRANGE(""https://docs.google.com/spreadsheets/d/1QqKyyYR6Q21VydFLVH3TRQUabQu_ym0Zz7PgGX0-kHA/edit?usp=sharing"",""แผน!FY77"")"),360)</f>
        <v>360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IFERROR(__xludf.DUMMYFUNCTION("IMPORTRANGE(""https://docs.google.com/spreadsheets/d/1QqKyyYR6Q21VydFLVH3TRQUabQu_ym0Zz7PgGX0-kHA/edit?usp=sharing"",""แผน!FZ77"")"),36)</f>
        <v>36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IFERROR(__xludf.DUMMYFUNCTION("IMPORTRANGE(""https://docs.google.com/spreadsheets/d/1QqKyyYR6Q21VydFLVH3TRQUabQu_ym0Zz7PgGX0-kHA/edit?usp=sharing"",""แผน!GA77"")"),40)</f>
        <v>40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IFERROR(__xludf.DUMMYFUNCTION("IMPORTRANGE(""https://docs.google.com/spreadsheets/d/1QqKyyYR6Q21VydFLVH3TRQUabQu_ym0Zz7PgGX0-kHA/edit?usp=sharing"",""แผน!GB77"")"),4)</f>
        <v>4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IFERROR(__xludf.DUMMYFUNCTION("IMPORTRANGE(""https://docs.google.com/spreadsheets/d/1QqKyyYR6Q21VydFLVH3TRQUabQu_ym0Zz7PgGX0-kHA/edit?usp=sharing"",""แผน!GC77"")"),1)</f>
        <v>1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IFERROR(__xludf.DUMMYFUNCTION("IMPORTRANGE(""https://docs.google.com/spreadsheets/d/1QqKyyYR6Q21VydFLVH3TRQUabQu_ym0Zz7PgGX0-kHA/edit?usp=sharing"",""แผน!FY77"")"),360)</f>
        <v>360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IFERROR(__xludf.DUMMYFUNCTION("IMPORTRANGE(""https://docs.google.com/spreadsheets/d/1QqKyyYR6Q21VydFLVH3TRQUabQu_ym0Zz7PgGX0-kHA/edit?usp=sharing"",""แผน!GA77"")"),40)</f>
        <v>40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IFERROR(__xludf.DUMMYFUNCTION("IMPORTRANGE(""https://docs.google.com/spreadsheets/d/1QqKyyYR6Q21VydFLVH3TRQUabQu_ym0Zz7PgGX0-kHA/edit?usp=sharing"",""แผน!GQ77"")"),0)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IFERROR(__xludf.DUMMYFUNCTION("IMPORTRANGE(""https://docs.google.com/spreadsheets/d/1QqKyyYR6Q21VydFLVH3TRQUabQu_ym0Zz7PgGX0-kHA/edit?usp=sharing"",""แผน!GU77"")"),0)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IFERROR(__xludf.DUMMYFUNCTION("IMPORTRANGE(""https://docs.google.com/spreadsheets/d/1QqKyyYR6Q21VydFLVH3TRQUabQu_ym0Zz7PgGX0-kHA/edit?usp=sharing"",""แผน!GV77"")"),0)</f>
        <v>0</v>
      </c>
      <c r="J538" s="214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IFERROR(__xludf.DUMMYFUNCTION("IMPORTRANGE(""https://docs.google.com/spreadsheets/d/1QqKyyYR6Q21VydFLVH3TRQUabQu_ym0Zz7PgGX0-kHA/edit?usp=sharing"",""แผน!GW77"")"),0)</f>
        <v>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IFERROR(__xludf.DUMMYFUNCTION("IMPORTRANGE(""https://docs.google.com/spreadsheets/d/1QqKyyYR6Q21VydFLVH3TRQUabQu_ym0Zz7PgGX0-kHA/edit?usp=sharing"",""แผน!GX77"")"),0)</f>
        <v>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IFERROR(__xludf.DUMMYFUNCTION("IMPORTRANGE(""https://docs.google.com/spreadsheets/d/1QqKyyYR6Q21VydFLVH3TRQUabQu_ym0Zz7PgGX0-kHA/edit?usp=sharing"",""แผน!GY77"")"),0)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IFERROR(__xludf.DUMMYFUNCTION("IMPORTRANGE(""https://docs.google.com/spreadsheets/d/1QqKyyYR6Q21VydFLVH3TRQUabQu_ym0Zz7PgGX0-kHA/edit?usp=sharing"",""แผน!GZ77"")"),0)</f>
        <v>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28605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263489</v>
      </c>
      <c r="M544" s="155">
        <f t="shared" si="236"/>
        <v>0</v>
      </c>
      <c r="N544" s="155">
        <f t="shared" si="236"/>
        <v>27200</v>
      </c>
      <c r="O544" s="155">
        <f t="shared" ref="O544:O549" ca="1" si="237">IF(L544&gt;0,N544*100/L544,0)</f>
        <v>10.323011586821462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263489</v>
      </c>
      <c r="M546" s="93">
        <f t="shared" si="240"/>
        <v>0</v>
      </c>
      <c r="N546" s="93">
        <f t="shared" si="240"/>
        <v>27200</v>
      </c>
      <c r="O546" s="93">
        <f t="shared" ca="1" si="237"/>
        <v>10.323011586821462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263489</v>
      </c>
      <c r="M547" s="497">
        <f t="shared" si="241"/>
        <v>0</v>
      </c>
      <c r="N547" s="497">
        <f t="shared" si="241"/>
        <v>27200</v>
      </c>
      <c r="O547" s="497">
        <f t="shared" ca="1" si="237"/>
        <v>10.323011586821462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IFERROR(__xludf.DUMMYFUNCTION("IMPORTRANGE(""https://docs.google.com/spreadsheets/d/1QqKyyYR6Q21VydFLVH3TRQUabQu_ym0Zz7PgGX0-kHA/edit?usp=sharing"",""แผน!HB77"")"),263489)</f>
        <v>263489</v>
      </c>
      <c r="M549" s="93">
        <v>0</v>
      </c>
      <c r="N549" s="93">
        <f>N550+N551+N552+N553+N554</f>
        <v>27200</v>
      </c>
      <c r="O549" s="93">
        <f t="shared" ca="1" si="237"/>
        <v>10.323011586821462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26000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1200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28605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IFERROR(__xludf.DUMMYFUNCTION("IMPORTRANGE(""https://docs.google.com/spreadsheets/d/1QqKyyYR6Q21VydFLVH3TRQUabQu_ym0Zz7PgGX0-kHA/edit?usp=sharing"",""แผน!HH77"")"),28605)</f>
        <v>28605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IFERROR(__xludf.DUMMYFUNCTION("IMPORTRANGE(""https://docs.google.com/spreadsheets/d/1QqKyyYR6Q21VydFLVH3TRQUabQu_ym0Zz7PgGX0-kHA/edit?usp=sharing"",""แผน!HG77"")"),3927)</f>
        <v>3927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IFERROR(__xludf.DUMMYFUNCTION("IMPORTRANGE(""https://docs.google.com/spreadsheets/d/1QqKyyYR6Q21VydFLVH3TRQUabQu_ym0Zz7PgGX0-kHA/edit?usp=sharing"",""แผน!HH77"")"),28605)</f>
        <v>28605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IFERROR(__xludf.DUMMYFUNCTION("IMPORTRANGE(""https://docs.google.com/spreadsheets/d/1QqKyyYR6Q21VydFLVH3TRQUabQu_ym0Zz7PgGX0-kHA/edit?usp=sharing"",""แผน!HG77"")"),3927)</f>
        <v>3927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IFERROR(__xludf.DUMMYFUNCTION("IMPORTRANGE(""https://docs.google.com/spreadsheets/d/1QqKyyYR6Q21VydFLVH3TRQUabQu_ym0Zz7PgGX0-kHA/edit?usp=sharing"",""แผน!HH77"")"),28605)</f>
        <v>28605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IFERROR(__xludf.DUMMYFUNCTION("IMPORTRANGE(""https://docs.google.com/spreadsheets/d/1QqKyyYR6Q21VydFLVH3TRQUabQu_ym0Zz7PgGX0-kHA/edit?usp=sharing"",""แผน!HG77"")"),3927)</f>
        <v>3927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 hidden="1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IFERROR(__xludf.DUMMYFUNCTION("IMPORTRANGE(""https://docs.google.com/spreadsheets/d/1QqKyyYR6Q21VydFLVH3TRQUabQu_ym0Zz7PgGX0-kHA/edit?usp=sharing"",""แผน!HJ77"")"),0)</f>
        <v>0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 hidden="1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IFERROR(__xludf.DUMMYFUNCTION("IMPORTRANGE(""https://docs.google.com/spreadsheets/d/1QqKyyYR6Q21VydFLVH3TRQUabQu_ym0Zz7PgGX0-kHA/edit?usp=sharing"",""แผน!HI77"")"),0)</f>
        <v>0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 hidden="1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 hidden="1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 hidden="1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 hidden="1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 hidden="1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 hidden="1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 hidden="1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 hidden="1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 hidden="1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 hidden="1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 hidden="1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 hidden="1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 hidden="1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 hidden="1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 hidden="1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 hidden="1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IFERROR(__xludf.DUMMYFUNCTION("IMPORTRANGE(""https://docs.google.com/spreadsheets/d/1QqKyyYR6Q21VydFLVH3TRQUabQu_ym0Zz7PgGX0-kHA/edit?usp=sharing"",""แผน!HL77"")"),0)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IFERROR(__xludf.DUMMYFUNCTION("IMPORTRANGE(""https://docs.google.com/spreadsheets/d/1QqKyyYR6Q21VydFLVH3TRQUabQu_ym0Zz7PgGX0-kHA/edit?usp=sharing"",""แผน!HK77"")"),0)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IFERROR(__xludf.DUMMYFUNCTION("IMPORTRANGE(""https://docs.google.com/spreadsheets/d/1QqKyyYR6Q21VydFLVH3TRQUabQu_ym0Zz7PgGX0-kHA/edit?usp=sharing"",""แผน!HN77"")"),0)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IFERROR(__xludf.DUMMYFUNCTION("IMPORTRANGE(""https://docs.google.com/spreadsheets/d/1QqKyyYR6Q21VydFLVH3TRQUabQu_ym0Zz7PgGX0-kHA/edit?usp=sharing"",""แผน!HR77"")"),0)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IFERROR(__xludf.DUMMYFUNCTION("IMPORTRANGE(""https://docs.google.com/spreadsheets/d/1QqKyyYR6Q21VydFLVH3TRQUabQu_ym0Zz7PgGX0-kHA/edit?usp=sharing"",""แผน!HR77"")"),0)</f>
        <v>0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IFERROR(__xludf.DUMMYFUNCTION("IMPORTRANGE(""https://docs.google.com/spreadsheets/d/1QqKyyYR6Q21VydFLVH3TRQUabQu_ym0Zz7PgGX0-kHA/edit?usp=sharing"",""แผน!HS77"")"),0)</f>
        <v>0</v>
      </c>
      <c r="J647" s="269">
        <f ca="1">IFERROR(__xludf.DUMMYFUNCTION("IMPORTRANGE(""https://docs.google.com/spreadsheets/d/1XWAQStnk-4SwqDmLtmXYiTMKHgktTP8We1SCoS47DrQ/edit?usp=sharing"",""จัดที่ดิน!AU77"")"),1)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IFERROR(__xludf.DUMMYFUNCTION("IMPORTRANGE(""https://docs.google.com/spreadsheets/d/1XWAQStnk-4SwqDmLtmXYiTMKHgktTP8We1SCoS47DrQ/edit?usp=sharing"",""จัดที่ดิน!AV77"")"),0.15)</f>
        <v>0.15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IFERROR(__xludf.DUMMYFUNCTION("IMPORTRANGE(""https://docs.google.com/spreadsheets/d/1QqKyyYR6Q21VydFLVH3TRQUabQu_ym0Zz7PgGX0-kHA/edit?usp=sharing"",""แผน!HS77"")"),0)</f>
        <v>0</v>
      </c>
      <c r="J649" s="269">
        <f ca="1">IFERROR(__xludf.DUMMYFUNCTION("IMPORTRANGE(""https://docs.google.com/spreadsheets/d/1XWAQStnk-4SwqDmLtmXYiTMKHgktTP8We1SCoS47DrQ/edit?usp=sharing"",""จัดที่ดิน!AW77"")"),0)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IFERROR(__xludf.DUMMYFUNCTION("IMPORTRANGE(""https://docs.google.com/spreadsheets/d/1QqKyyYR6Q21VydFLVH3TRQUabQu_ym0Zz7PgGX0-kHA/edit?usp=sharing"",""แผน!HS77"")"),0)</f>
        <v>0</v>
      </c>
      <c r="J651" s="269">
        <f ca="1">IFERROR(__xludf.DUMMYFUNCTION("IMPORTRANGE(""https://docs.google.com/spreadsheets/d/1XWAQStnk-4SwqDmLtmXYiTMKHgktTP8We1SCoS47DrQ/edit?usp=sharing"",""จัดที่ดิน!AY77"")"),0)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IFERROR(__xludf.DUMMYFUNCTION("IMPORTRANGE(""https://docs.google.com/spreadsheets/d/1XWAQStnk-4SwqDmLtmXYiTMKHgktTP8We1SCoS47DrQ/edit?usp=sharing"",""จัดที่ดิน!AZ77"")"),0)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IFERROR(__xludf.DUMMYFUNCTION("IMPORTRANGE(""https://docs.google.com/spreadsheets/d/1QqKyyYR6Q21VydFLVH3TRQUabQu_ym0Zz7PgGX0-kHA/edit?usp=sharing"",""แผน!HV77"")"),0)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IFERROR(__xludf.DUMMYFUNCTION("IMPORTRANGE(""https://docs.google.com/spreadsheets/d/1QqKyyYR6Q21VydFLVH3TRQUabQu_ym0Zz7PgGX0-kHA/edit?usp=sharing"",""แผน!IA77"")"),0)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IFERROR(__xludf.DUMMYFUNCTION("IMPORTRANGE(""https://docs.google.com/spreadsheets/d/1QqKyyYR6Q21VydFLVH3TRQUabQu_ym0Zz7PgGX0-kHA/edit?usp=sharing"",""แผน!HZ77"")"),0)</f>
        <v>0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IFERROR(__xludf.DUMMYFUNCTION("IMPORTRANGE(""https://docs.google.com/spreadsheets/d/1QqKyyYR6Q21VydFLVH3TRQUabQu_ym0Zz7PgGX0-kHA/edit?usp=sharing"",""แผน!HZ77"")"),0)</f>
        <v>0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IFERROR(__xludf.DUMMYFUNCTION("IMPORTRANGE(""https://docs.google.com/spreadsheets/d/1QqKyyYR6Q21VydFLVH3TRQUabQu_ym0Zz7PgGX0-kHA/edit?usp=sharing"",""แผน!IB77"")"),0)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IFERROR(__xludf.DUMMYFUNCTION("IMPORTRANGE(""https://docs.google.com/spreadsheets/d/1QqKyyYR6Q21VydFLVH3TRQUabQu_ym0Zz7PgGX0-kHA/edit?usp=sharing"",""แผน!HW77"")"),0)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IFERROR(__xludf.DUMMYFUNCTION("IMPORTRANGE(""https://docs.google.com/spreadsheets/d/1QqKyyYR6Q21VydFLVH3TRQUabQu_ym0Zz7PgGX0-kHA/edit?usp=sharing"",""แผน!IC77"")"),0)</f>
        <v>0</v>
      </c>
      <c r="J699" s="269">
        <f ca="1">IFERROR(__xludf.DUMMYFUNCTION("IMPORTRANGE(""https://docs.google.com/spreadsheets/d/1XWAQStnk-4SwqDmLtmXYiTMKHgktTP8We1SCoS47DrQ/edit?usp=sharing"",""จัดที่ดิน!BB77"")"),0)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IFERROR(__xludf.DUMMYFUNCTION("IMPORTRANGE(""https://docs.google.com/spreadsheets/d/1QqKyyYR6Q21VydFLVH3TRQUabQu_ym0Zz7PgGX0-kHA/edit?usp=sharing"",""แผน!ID77"")"),0)</f>
        <v>0</v>
      </c>
      <c r="J700" s="269">
        <f ca="1">IFERROR(__xludf.DUMMYFUNCTION("IMPORTRANGE(""https://docs.google.com/spreadsheets/d/1XWAQStnk-4SwqDmLtmXYiTMKHgktTP8We1SCoS47DrQ/edit?usp=sharing"",""จัดที่ดิน!BD77"")"),0)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IFERROR(__xludf.DUMMYFUNCTION("IMPORTRANGE(""https://docs.google.com/spreadsheets/d/1QqKyyYR6Q21VydFLVH3TRQUabQu_ym0Zz7PgGX0-kHA/edit?usp=sharing"",""แผน!IE77"")"),0)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IFERROR(__xludf.DUMMYFUNCTION("IMPORTRANGE(""https://docs.google.com/spreadsheets/d/1QqKyyYR6Q21VydFLVH3TRQUabQu_ym0Zz7PgGX0-kHA/edit?usp=sharing"",""แผน!IF77"")"),0)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IFERROR(__xludf.DUMMYFUNCTION("IMPORTRANGE(""https://docs.google.com/spreadsheets/d/1QqKyyYR6Q21VydFLVH3TRQUabQu_ym0Zz7PgGX0-kHA/edit?usp=sharing"",""แผน!IG77"")"),0)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IFERROR(__xludf.DUMMYFUNCTION("IMPORTRANGE(""https://docs.google.com/spreadsheets/d/1QqKyyYR6Q21VydFLVH3TRQUabQu_ym0Zz7PgGX0-kHA/edit?usp=sharing"",""แผน!IH77"")"),0)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IFERROR(__xludf.DUMMYFUNCTION("IMPORTRANGE(""https://docs.google.com/spreadsheets/d/1XWAQStnk-4SwqDmLtmXYiTMKHgktTP8We1SCoS47DrQ/edit?usp=sharing"",""จัดที่ดิน!BF77"")"),0)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IFERROR(__xludf.DUMMYFUNCTION("IMPORTRANGE(""https://docs.google.com/spreadsheets/d/1XWAQStnk-4SwqDmLtmXYiTMKHgktTP8We1SCoS47DrQ/edit?usp=sharing"",""จัดที่ดิน!BG77"")"),0)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IFERROR(__xludf.DUMMYFUNCTION("IMPORTRANGE(""https://docs.google.com/spreadsheets/d/1QqKyyYR6Q21VydFLVH3TRQUabQu_ym0Zz7PgGX0-kHA/edit?usp=sharing"",""แผน!II77"")"),0)</f>
        <v>0</v>
      </c>
      <c r="J720" s="269">
        <f ca="1">IFERROR(__xludf.DUMMYFUNCTION("IMPORTRANGE(""https://docs.google.com/spreadsheets/d/1XWAQStnk-4SwqDmLtmXYiTMKHgktTP8We1SCoS47DrQ/edit?usp=sharing"",""จัดที่ดิน!BH77"")"),0)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IFERROR(__xludf.DUMMYFUNCTION("IMPORTRANGE(""https://docs.google.com/spreadsheets/d/1QqKyyYR6Q21VydFLVH3TRQUabQu_ym0Zz7PgGX0-kHA/edit?usp=sharing"",""แผน!IJ77"")"),0)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IFERROR(__xludf.DUMMYFUNCTION("IMPORTRANGE(""https://docs.google.com/spreadsheets/d/1QqKyyYR6Q21VydFLVH3TRQUabQu_ym0Zz7PgGX0-kHA/edit?usp=sharing"",""แผน!IK77"")"),0)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IFERROR(__xludf.DUMMYFUNCTION("IMPORTRANGE(""https://docs.google.com/spreadsheets/d/1QqKyyYR6Q21VydFLVH3TRQUabQu_ym0Zz7PgGX0-kHA/edit?usp=sharing"",""แผน!IL77"")"),0)</f>
        <v>0</v>
      </c>
      <c r="J723" s="269">
        <f ca="1">IFERROR(__xludf.DUMMYFUNCTION("IMPORTRANGE(""https://docs.google.com/spreadsheets/d/1XWAQStnk-4SwqDmLtmXYiTMKHgktTP8We1SCoS47DrQ/edit?usp=sharing"",""จัดที่ดิน!BM77"")"),0)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IFERROR(__xludf.DUMMYFUNCTION("IMPORTRANGE(""https://docs.google.com/spreadsheets/d/1XWAQStnk-4SwqDmLtmXYiTMKHgktTP8We1SCoS47DrQ/edit?usp=sharing"",""จัดที่ดิน!BN77"")"),0)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IFERROR(__xludf.DUMMYFUNCTION("IMPORTRANGE(""https://docs.google.com/spreadsheets/d/1QqKyyYR6Q21VydFLVH3TRQUabQu_ym0Zz7PgGX0-kHA/edit?usp=sharing"",""แผน!IM77"")"),0)</f>
        <v>0</v>
      </c>
      <c r="J725" s="269">
        <f ca="1">IFERROR(__xludf.DUMMYFUNCTION("IMPORTRANGE(""https://docs.google.com/spreadsheets/d/1XWAQStnk-4SwqDmLtmXYiTMKHgktTP8We1SCoS47DrQ/edit?usp=sharing"",""จัดที่ดิน!BO77"")"),0)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IFERROR(__xludf.DUMMYFUNCTION("IMPORTRANGE(""https://docs.google.com/spreadsheets/d/1QqKyyYR6Q21VydFLVH3TRQUabQu_ym0Zz7PgGX0-kHA/edit?usp=sharing"",""แผน!IN77"")"),0)</f>
        <v>0</v>
      </c>
      <c r="J726" s="269">
        <f ca="1">IFERROR(__xludf.DUMMYFUNCTION("IMPORTRANGE(""https://docs.google.com/spreadsheets/d/1XWAQStnk-4SwqDmLtmXYiTMKHgktTP8We1SCoS47DrQ/edit?usp=sharing"",""จัดที่ดิน!BR77"")"),0)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IFERROR(__xludf.DUMMYFUNCTION("IMPORTRANGE(""https://docs.google.com/spreadsheets/d/1XWAQStnk-4SwqDmLtmXYiTMKHgktTP8We1SCoS47DrQ/edit?usp=sharing"",""จัดที่ดิน!BS77"")"),0)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IFERROR(__xludf.DUMMYFUNCTION("IMPORTRANGE(""https://docs.google.com/spreadsheets/d/1QqKyyYR6Q21VydFLVH3TRQUabQu_ym0Zz7PgGX0-kHA/edit?usp=sharing"",""แผน!IO77"")"),0)</f>
        <v>0</v>
      </c>
      <c r="J728" s="269">
        <f ca="1">IFERROR(__xludf.DUMMYFUNCTION("IMPORTRANGE(""https://docs.google.com/spreadsheets/d/1XWAQStnk-4SwqDmLtmXYiTMKHgktTP8We1SCoS47DrQ/edit?usp=sharing"",""จัดที่ดิน!BT77"")"),0)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IFERROR(__xludf.DUMMYFUNCTION("IMPORTRANGE(""https://docs.google.com/spreadsheets/d/1QqKyyYR6Q21VydFLVH3TRQUabQu_ym0Zz7PgGX0-kHA/edit?usp=sharing"",""แผน!IP77"")"),0)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IFERROR(__xludf.DUMMYFUNCTION("IMPORTRANGE(""https://docs.google.com/spreadsheets/d/1QqKyyYR6Q21VydFLVH3TRQUabQu_ym0Zz7PgGX0-kHA/edit?usp=sharing"",""แผน!JJ77"")"),0)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IFERROR(__xludf.DUMMYFUNCTION("IMPORTRANGE(""https://docs.google.com/spreadsheets/d/1QqKyyYR6Q21VydFLVH3TRQUabQu_ym0Zz7PgGX0-kHA/edit?usp=sharing"",""แผน!JN77"")"),0)</f>
        <v>0</v>
      </c>
      <c r="J800" s="184">
        <f ca="1">IFERROR(__xludf.DUMMYFUNCTION("IMPORTRANGE(""https://docs.google.com/spreadsheets/d/1MaWodYyGHDf7siQLGxnXhG4mBNTNIuy296niS2xXulU/edit?usp=sharing"",""RTK!H77"")"),0)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IFERROR(__xludf.DUMMYFUNCTION("IMPORTRANGE(""https://docs.google.com/spreadsheets/d/1MaWodYyGHDf7siQLGxnXhG4mBNTNIuy296niS2xXulU/edit?usp=sharing"",""RTK!I77"")"),0)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334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269">
        <f ca="1">IFERROR(__xludf.DUMMYFUNCTION("IMPORTRANGE(""https://docs.google.com/spreadsheets/d/19vJNZY_5yjcGF2XGBMNZRCAIB0Kwfpjp8YEOfu-bneM/edit?usp=sharing"",""งานกองทุน!F77"")"),0)</f>
        <v>0</v>
      </c>
      <c r="K821" s="497">
        <f t="shared" ref="K821:K828" ca="1" si="335">IF(I821&gt;0,J821*100/I821,0)</f>
        <v>0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IFERROR(__xludf.DUMMYFUNCTION("IMPORTRANGE(""https://docs.google.com/spreadsheets/d/19vJNZY_5yjcGF2XGBMNZRCAIB0Kwfpjp8YEOfu-bneM/edit?usp=sharing"",""งานกองทุน!C77"")"),75)</f>
        <v>75</v>
      </c>
      <c r="J822" s="269">
        <f ca="1">IFERROR(__xludf.DUMMYFUNCTION("IMPORTRANGE(""https://docs.google.com/spreadsheets/d/19vJNZY_5yjcGF2XGBMNZRCAIB0Kwfpjp8YEOfu-bneM/edit?usp=sharing"",""งานกองทุน!E77"")"),0)</f>
        <v>0</v>
      </c>
      <c r="K822" s="497">
        <f t="shared" ca="1" si="335"/>
        <v>0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269">
        <f ca="1">IFERROR(__xludf.DUMMYFUNCTION("IMPORTRANGE(""https://docs.google.com/spreadsheets/d/19vJNZY_5yjcGF2XGBMNZRCAIB0Kwfpjp8YEOfu-bneM/edit?usp=sharing"",""งานกองทุน!K77"")"),143463.8)</f>
        <v>143463.79999999999</v>
      </c>
      <c r="K823" s="497">
        <f t="shared" ca="1" si="335"/>
        <v>6.7736412823133092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IFERROR(__xludf.DUMMYFUNCTION("IMPORTRANGE(""https://docs.google.com/spreadsheets/d/19vJNZY_5yjcGF2XGBMNZRCAIB0Kwfpjp8YEOfu-bneM/edit?usp=sharing"",""งานกองทุน!H77"")"),82)</f>
        <v>82</v>
      </c>
      <c r="J824" s="269">
        <f ca="1">IFERROR(__xludf.DUMMYFUNCTION("IMPORTRANGE(""https://docs.google.com/spreadsheets/d/19vJNZY_5yjcGF2XGBMNZRCAIB0Kwfpjp8YEOfu-bneM/edit?usp=sharing"",""งานกองทุน!J77"")"),20)</f>
        <v>20</v>
      </c>
      <c r="K824" s="497">
        <f t="shared" ca="1" si="335"/>
        <v>24.390243902439025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IFERROR(__xludf.DUMMYFUNCTION("IMPORTRANGE(""https://docs.google.com/spreadsheets/d/19vJNZY_5yjcGF2XGBMNZRCAIB0Kwfpjp8YEOfu-bneM/edit?usp=sharing"",""งานกองทุน!N77"")"),0)</f>
        <v>0</v>
      </c>
      <c r="J825" s="269">
        <f ca="1">IFERROR(__xludf.DUMMYFUNCTION("IMPORTRANGE(""https://docs.google.com/spreadsheets/d/19vJNZY_5yjcGF2XGBMNZRCAIB0Kwfpjp8YEOfu-bneM/edit?usp=sharing"",""งานกองทุน!P77"")"),0)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IFERROR(__xludf.DUMMYFUNCTION("IMPORTRANGE(""https://docs.google.com/spreadsheets/d/19vJNZY_5yjcGF2XGBMNZRCAIB0Kwfpjp8YEOfu-bneM/edit?usp=sharing"",""งานกองทุน!M77"")"),0)</f>
        <v>0</v>
      </c>
      <c r="J826" s="269">
        <f ca="1">IFERROR(__xludf.DUMMYFUNCTION("IMPORTRANGE(""https://docs.google.com/spreadsheets/d/19vJNZY_5yjcGF2XGBMNZRCAIB0Kwfpjp8YEOfu-bneM/edit?usp=sharing"",""งานกองทุน!O77"")"),0)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IFERROR(__xludf.DUMMYFUNCTION("IMPORTRANGE(""https://docs.google.com/spreadsheets/d/19vJNZY_5yjcGF2XGBMNZRCAIB0Kwfpjp8YEOfu-bneM/edit?usp=sharing"",""งานกองทุน!S77"")"),980000)</f>
        <v>980000</v>
      </c>
      <c r="J827" s="269">
        <f ca="1">IFERROR(__xludf.DUMMYFUNCTION("IMPORTRANGE(""https://docs.google.com/spreadsheets/d/19vJNZY_5yjcGF2XGBMNZRCAIB0Kwfpjp8YEOfu-bneM/edit?usp=sharing"",""งานกองทุน!U77"")"),0)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IFERROR(__xludf.DUMMYFUNCTION("IMPORTRANGE(""https://docs.google.com/spreadsheets/d/19vJNZY_5yjcGF2XGBMNZRCAIB0Kwfpjp8YEOfu-bneM/edit?usp=sharing"",""งานกองทุน!R77"")"),39)</f>
        <v>39</v>
      </c>
      <c r="J828" s="500">
        <f ca="1">IFERROR(__xludf.DUMMYFUNCTION("IMPORTRANGE(""https://docs.google.com/spreadsheets/d/19vJNZY_5yjcGF2XGBMNZRCAIB0Kwfpjp8YEOfu-bneM/edit?usp=sharing"",""งานกองทุน!T77"")"),0)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0CF2C-7F23-4049-8A55-4F0D4ED652E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337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4659958</v>
      </c>
      <c r="M8" s="22">
        <f t="shared" ca="1" si="0"/>
        <v>2321325</v>
      </c>
      <c r="N8" s="22">
        <f t="shared" ca="1" si="0"/>
        <v>1381108.34</v>
      </c>
      <c r="O8" s="22">
        <f t="shared" ref="O8:O16" ca="1" si="1">IF(L8&gt;0,N8*100/L8,0)</f>
        <v>29.637785147419784</v>
      </c>
      <c r="P8" s="22">
        <f t="shared" ref="P8:P16" ca="1" si="2">IF(M8&gt;0,N8*100/M8,0)</f>
        <v>59.496552184635931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4659958</v>
      </c>
      <c r="M10" s="30">
        <f t="shared" ca="1" si="3"/>
        <v>2321325</v>
      </c>
      <c r="N10" s="30">
        <f t="shared" ca="1" si="3"/>
        <v>1381108.34</v>
      </c>
      <c r="O10" s="30">
        <f t="shared" ca="1" si="1"/>
        <v>29.637785147419784</v>
      </c>
      <c r="P10" s="30">
        <f t="shared" ca="1" si="2"/>
        <v>59.496552184635931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3985958</v>
      </c>
      <c r="M11" s="497">
        <f t="shared" ca="1" si="4"/>
        <v>1648325</v>
      </c>
      <c r="N11" s="497">
        <f t="shared" ca="1" si="4"/>
        <v>708108.34000000008</v>
      </c>
      <c r="O11" s="497">
        <f t="shared" ca="1" si="1"/>
        <v>17.765072788022355</v>
      </c>
      <c r="P11" s="497">
        <f t="shared" ca="1" si="2"/>
        <v>42.959267134818688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3985958</v>
      </c>
      <c r="M13" s="93">
        <f t="shared" ca="1" si="5"/>
        <v>1648325</v>
      </c>
      <c r="N13" s="93">
        <f t="shared" ca="1" si="5"/>
        <v>708108.34000000008</v>
      </c>
      <c r="O13" s="93">
        <f t="shared" ca="1" si="1"/>
        <v>17.765072788022355</v>
      </c>
      <c r="P13" s="93">
        <f t="shared" ca="1" si="2"/>
        <v>42.959267134818688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674000</v>
      </c>
      <c r="M14" s="497">
        <f t="shared" ca="1" si="6"/>
        <v>673000</v>
      </c>
      <c r="N14" s="497">
        <f t="shared" ca="1" si="6"/>
        <v>673000</v>
      </c>
      <c r="O14" s="497">
        <f t="shared" ca="1" si="1"/>
        <v>99.85163204747775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2321325</v>
      </c>
      <c r="N18" s="22">
        <f t="shared" ca="1" si="8"/>
        <v>1299533.77</v>
      </c>
      <c r="O18" s="22">
        <f t="shared" ref="O18:O26" ca="1" si="9">IF(L18&gt;0,N18*100/L18,0)</f>
        <v>33.24674403998204</v>
      </c>
      <c r="P18" s="22">
        <f t="shared" ref="P18:P26" ca="1" si="10">IF(M18&gt;0,N18*100/M18,0)</f>
        <v>55.982413923082724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2321325</v>
      </c>
      <c r="N20" s="30">
        <f t="shared" ca="1" si="11"/>
        <v>1299533.77</v>
      </c>
      <c r="O20" s="30">
        <f t="shared" ca="1" si="9"/>
        <v>33.24674403998204</v>
      </c>
      <c r="P20" s="30">
        <f t="shared" ca="1" si="10"/>
        <v>55.982413923082724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3234755</v>
      </c>
      <c r="M21" s="497">
        <f t="shared" ca="1" si="12"/>
        <v>1648325</v>
      </c>
      <c r="N21" s="497">
        <f t="shared" ca="1" si="12"/>
        <v>626533.77</v>
      </c>
      <c r="O21" s="497">
        <f t="shared" ca="1" si="9"/>
        <v>19.36881680374557</v>
      </c>
      <c r="P21" s="497">
        <f t="shared" ca="1" si="10"/>
        <v>38.010329880333067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3234755</v>
      </c>
      <c r="M23" s="93">
        <f t="shared" ca="1" si="13"/>
        <v>1648325</v>
      </c>
      <c r="N23" s="93">
        <f t="shared" ca="1" si="13"/>
        <v>626533.77</v>
      </c>
      <c r="O23" s="93">
        <f t="shared" ca="1" si="9"/>
        <v>19.36881680374557</v>
      </c>
      <c r="P23" s="93">
        <f t="shared" ca="1" si="10"/>
        <v>38.010329880333067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674000</v>
      </c>
      <c r="M24" s="497">
        <f t="shared" ca="1" si="14"/>
        <v>673000</v>
      </c>
      <c r="N24" s="497">
        <f t="shared" ca="1" si="14"/>
        <v>673000</v>
      </c>
      <c r="O24" s="497">
        <f t="shared" ca="1" si="9"/>
        <v>99.85163204747775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751203</v>
      </c>
      <c r="M28" s="22">
        <f t="shared" si="16"/>
        <v>0</v>
      </c>
      <c r="N28" s="22">
        <f t="shared" si="16"/>
        <v>81574.570000000007</v>
      </c>
      <c r="O28" s="22">
        <f t="shared" ref="O28:O37" ca="1" si="17">IF(L28&gt;0,N28*100/L28,0)</f>
        <v>10.859191190663511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751203</v>
      </c>
      <c r="M30" s="30">
        <f t="shared" si="19"/>
        <v>0</v>
      </c>
      <c r="N30" s="30">
        <f t="shared" si="19"/>
        <v>81574.570000000007</v>
      </c>
      <c r="O30" s="30">
        <f t="shared" ca="1" si="17"/>
        <v>10.859191190663511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751203</v>
      </c>
      <c r="M31" s="497">
        <f t="shared" si="20"/>
        <v>0</v>
      </c>
      <c r="N31" s="497">
        <f t="shared" si="20"/>
        <v>81574.570000000007</v>
      </c>
      <c r="O31" s="497">
        <f t="shared" ca="1" si="17"/>
        <v>10.859191190663511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751203</v>
      </c>
      <c r="M33" s="93">
        <f t="shared" si="21"/>
        <v>0</v>
      </c>
      <c r="N33" s="93">
        <f t="shared" si="21"/>
        <v>81574.570000000007</v>
      </c>
      <c r="O33" s="93">
        <f t="shared" ca="1" si="17"/>
        <v>10.859191190663511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3908755</v>
      </c>
      <c r="M37" s="59">
        <f t="shared" ca="1" si="24"/>
        <v>2321325</v>
      </c>
      <c r="N37" s="59">
        <f t="shared" ca="1" si="24"/>
        <v>1299533.77</v>
      </c>
      <c r="O37" s="59">
        <f t="shared" ca="1" si="17"/>
        <v>33.24674403998204</v>
      </c>
      <c r="P37" s="59">
        <f t="shared" ca="1" si="18"/>
        <v>55.982413923082724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315800</v>
      </c>
      <c r="N41" s="85">
        <f t="shared" ca="1" si="25"/>
        <v>167550</v>
      </c>
      <c r="O41" s="85">
        <f t="shared" ref="O41:O49" ca="1" si="26">IF(L41&gt;0,N41*100/L41,0)</f>
        <v>27.286051624460548</v>
      </c>
      <c r="P41" s="85">
        <f t="shared" ref="P41:P49" ca="1" si="27">IF(M41&gt;0,N41*100/M41,0)</f>
        <v>53.055731475617478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315800</v>
      </c>
      <c r="N43" s="92">
        <f t="shared" ca="1" si="28"/>
        <v>167550</v>
      </c>
      <c r="O43" s="92">
        <f t="shared" ca="1" si="26"/>
        <v>27.286051624460548</v>
      </c>
      <c r="P43" s="92">
        <f t="shared" ca="1" si="27"/>
        <v>53.055731475617478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614050</v>
      </c>
      <c r="M44" s="497">
        <f t="shared" ca="1" si="29"/>
        <v>315800</v>
      </c>
      <c r="N44" s="497">
        <f t="shared" ca="1" si="29"/>
        <v>167550</v>
      </c>
      <c r="O44" s="497">
        <f t="shared" ca="1" si="26"/>
        <v>27.286051624460548</v>
      </c>
      <c r="P44" s="497">
        <f t="shared" ca="1" si="27"/>
        <v>53.055731475617478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IFERROR(__xludf.DUMMYFUNCTION("IMPORTRANGE(""https://docs.google.com/spreadsheets/d/1MeEWN-I1oV_STSDYn1IFDPWt_1FKiwhDph83XaGc0o0/edit?usp=sharing"",""งบพรบ!R78"")"),315800)</f>
        <v>315800</v>
      </c>
      <c r="N46" s="93">
        <f ca="1">IFERROR(__xludf.DUMMYFUNCTION("IMPORTRANGE(""https://docs.google.com/spreadsheets/d/1MeEWN-I1oV_STSDYn1IFDPWt_1FKiwhDph83XaGc0o0/edit?usp=sharing"",""งบพรบ!T78"")"),167550)</f>
        <v>167550</v>
      </c>
      <c r="O46" s="93">
        <f t="shared" ca="1" si="26"/>
        <v>27.286051624460548</v>
      </c>
      <c r="P46" s="93">
        <f t="shared" ca="1" si="27"/>
        <v>53.055731475617478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725150</v>
      </c>
      <c r="N53" s="116">
        <f t="shared" ca="1" si="31"/>
        <v>620906.35</v>
      </c>
      <c r="O53" s="116">
        <f t="shared" ref="O53:O61" ca="1" si="32">IF(L53&gt;0,N53*100/L53,0)</f>
        <v>56.430641643188224</v>
      </c>
      <c r="P53" s="116">
        <f t="shared" ref="P53:P61" ca="1" si="33">IF(M53&gt;0,N53*100/M53,0)</f>
        <v>85.624539750396465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725150</v>
      </c>
      <c r="N55" s="123">
        <f t="shared" ca="1" si="34"/>
        <v>620906.35</v>
      </c>
      <c r="O55" s="123">
        <f t="shared" ca="1" si="32"/>
        <v>56.430641643188224</v>
      </c>
      <c r="P55" s="123">
        <f t="shared" ca="1" si="33"/>
        <v>85.624539750396465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750300</v>
      </c>
      <c r="M56" s="497">
        <f t="shared" ca="1" si="35"/>
        <v>375150</v>
      </c>
      <c r="N56" s="497">
        <f t="shared" ca="1" si="35"/>
        <v>270906.34999999998</v>
      </c>
      <c r="O56" s="497">
        <f t="shared" ca="1" si="32"/>
        <v>36.106404105024652</v>
      </c>
      <c r="P56" s="497">
        <f t="shared" ca="1" si="33"/>
        <v>72.212808210049303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IFERROR(__xludf.DUMMYFUNCTION("IMPORTRANGE(""https://docs.google.com/spreadsheets/d/1MeEWN-I1oV_STSDYn1IFDPWt_1FKiwhDph83XaGc0o0/edit?usp=sharing"",""งบพรบ!AB78"")"),375150)</f>
        <v>375150</v>
      </c>
      <c r="N58" s="93">
        <f ca="1">IFERROR(__xludf.DUMMYFUNCTION("IMPORTRANGE(""https://docs.google.com/spreadsheets/d/1MeEWN-I1oV_STSDYn1IFDPWt_1FKiwhDph83XaGc0o0/edit?usp=sharing"",""งบพรบ!AD78"")"),270906.35)</f>
        <v>270906.34999999998</v>
      </c>
      <c r="O58" s="93">
        <f t="shared" ca="1" si="32"/>
        <v>36.106404105024652</v>
      </c>
      <c r="P58" s="93">
        <f t="shared" ca="1" si="33"/>
        <v>72.212808210049303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350000</v>
      </c>
      <c r="M59" s="497">
        <f t="shared" ca="1" si="36"/>
        <v>350000</v>
      </c>
      <c r="N59" s="497">
        <f t="shared" ca="1" si="36"/>
        <v>350000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26440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26440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26440</v>
      </c>
      <c r="M91" s="497">
        <f t="shared" ca="1" si="53"/>
        <v>21840</v>
      </c>
      <c r="N91" s="497">
        <f t="shared" ca="1" si="53"/>
        <v>0</v>
      </c>
      <c r="O91" s="497">
        <f t="shared" ca="1" si="50"/>
        <v>0</v>
      </c>
      <c r="P91" s="497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IFERROR(__xludf.DUMMYFUNCTION("IMPORTRANGE(""https://docs.google.com/spreadsheets/d/1MeEWN-I1oV_STSDYn1IFDPWt_1FKiwhDph83XaGc0o0/edit?usp=sharing"",""งบพรบ!AV78"")"),21840)</f>
        <v>21840</v>
      </c>
      <c r="N93" s="93">
        <f ca="1">IFERROR(__xludf.DUMMYFUNCTION("IMPORTRANGE(""https://docs.google.com/spreadsheets/d/1MeEWN-I1oV_STSDYn1IFDPWt_1FKiwhDph83XaGc0o0/edit?usp=sharing"",""งบพรบ!AX78"")"),0)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IFERROR(__xludf.DUMMYFUNCTION("IMPORTRANGE(""https://docs.google.com/spreadsheets/d/1QqKyyYR6Q21VydFLVH3TRQUabQu_ym0Zz7PgGX0-kHA/edit?usp=sharing"",""แผน!K78"")"),30)</f>
        <v>30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IFERROR(__xludf.DUMMYFUNCTION("IMPORTRANGE(""https://docs.google.com/spreadsheets/d/1QqKyyYR6Q21VydFLVH3TRQUabQu_ym0Zz7PgGX0-kHA/edit?usp=sharing"",""แผน!L78"")"),10)</f>
        <v>10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IFERROR(__xludf.DUMMYFUNCTION("IMPORTRANGE(""https://docs.google.com/spreadsheets/d/1QqKyyYR6Q21VydFLVH3TRQUabQu_ym0Zz7PgGX0-kHA/edit?usp=sharing"",""แผน!M78"")"),0)</f>
        <v>0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IFERROR(__xludf.DUMMYFUNCTION("IMPORTRANGE(""https://docs.google.com/spreadsheets/d/1QqKyyYR6Q21VydFLVH3TRQUabQu_ym0Zz7PgGX0-kHA/edit?usp=sharing"",""แผน!N78"")"),30)</f>
        <v>30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IFERROR(__xludf.DUMMYFUNCTION("IMPORTRANGE(""https://docs.google.com/spreadsheets/d/1QqKyyYR6Q21VydFLVH3TRQUabQu_ym0Zz7PgGX0-kHA/edit?usp=sharing"",""แผน!O78"")"),10)</f>
        <v>10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IFERROR(__xludf.DUMMYFUNCTION("IMPORTRANGE(""https://docs.google.com/spreadsheets/d/1QqKyyYR6Q21VydFLVH3TRQUabQu_ym0Zz7PgGX0-kHA/edit?usp=sharing"",""แผน!O78"")"),10)</f>
        <v>10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IFERROR(__xludf.DUMMYFUNCTION("IMPORTRANGE(""https://docs.google.com/spreadsheets/d/1QqKyyYR6Q21VydFLVH3TRQUabQu_ym0Zz7PgGX0-kHA/edit?usp=sharing"",""แผน!P78"")"),0)</f>
        <v>0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IFERROR(__xludf.DUMMYFUNCTION("IMPORTRANGE(""https://docs.google.com/spreadsheets/d/1QqKyyYR6Q21VydFLVH3TRQUabQu_ym0Zz7PgGX0-kHA/edit?usp=sharing"",""แผน!P78"")"),0)</f>
        <v>0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IFERROR(__xludf.DUMMYFUNCTION("IMPORTRANGE(""https://docs.google.com/spreadsheets/d/1QqKyyYR6Q21VydFLVH3TRQUabQu_ym0Zz7PgGX0-kHA/edit?usp=sharing"",""แผน!Q78"")"),0)</f>
        <v>0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IFERROR(__xludf.DUMMYFUNCTION("IMPORTRANGE(""https://docs.google.com/spreadsheets/d/1QqKyyYR6Q21VydFLVH3TRQUabQu_ym0Zz7PgGX0-kHA/edit?usp=sharing"",""แผน!Q78"")"),0)</f>
        <v>0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42000</v>
      </c>
      <c r="M125" s="497">
        <f t="shared" ca="1" si="65"/>
        <v>42000</v>
      </c>
      <c r="N125" s="497">
        <f t="shared" ca="1" si="65"/>
        <v>42000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2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267200</v>
      </c>
      <c r="N132" s="155">
        <f t="shared" ca="1" si="69"/>
        <v>206000</v>
      </c>
      <c r="O132" s="155">
        <f t="shared" ref="O132:O140" ca="1" si="70">IF(L132&gt;0,N132*100/L132,0)</f>
        <v>67.917312320727973</v>
      </c>
      <c r="P132" s="155">
        <f t="shared" ref="P132:P140" ca="1" si="71">IF(M132&gt;0,N132*100/M132,0)</f>
        <v>77.095808383233532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303310</v>
      </c>
      <c r="M134" s="93">
        <f t="shared" ca="1" si="72"/>
        <v>267200</v>
      </c>
      <c r="N134" s="93">
        <f t="shared" ca="1" si="72"/>
        <v>206000</v>
      </c>
      <c r="O134" s="93">
        <f t="shared" ca="1" si="70"/>
        <v>67.917312320727973</v>
      </c>
      <c r="P134" s="93">
        <f t="shared" ca="1" si="71"/>
        <v>77.095808383233532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97310</v>
      </c>
      <c r="M135" s="497">
        <f t="shared" ca="1" si="73"/>
        <v>61200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IFERROR(__xludf.DUMMYFUNCTION("IMPORTRANGE(""https://docs.google.com/spreadsheets/d/1MeEWN-I1oV_STSDYn1IFDPWt_1FKiwhDph83XaGc0o0/edit?usp=sharing"",""งบพรบ!BP78"")"),61200)</f>
        <v>61200</v>
      </c>
      <c r="N137" s="93">
        <f ca="1">IFERROR(__xludf.DUMMYFUNCTION("IMPORTRANGE(""https://docs.google.com/spreadsheets/d/1MeEWN-I1oV_STSDYn1IFDPWt_1FKiwhDph83XaGc0o0/edit?usp=sharing"",""งบพรบ!BR78"")"),0)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206000</v>
      </c>
      <c r="N138" s="497">
        <f t="shared" ca="1" si="74"/>
        <v>206000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20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IFERROR(__xludf.DUMMYFUNCTION("IMPORTRANGE(""https://docs.google.com/spreadsheets/d/1QqKyyYR6Q21VydFLVH3TRQUabQu_ym0Zz7PgGX0-kHA/edit?usp=sharing"",""แผน!U78"")"),10)</f>
        <v>10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IFERROR(__xludf.DUMMYFUNCTION("IMPORTRANGE(""https://docs.google.com/spreadsheets/d/1QqKyyYR6Q21VydFLVH3TRQUabQu_ym0Zz7PgGX0-kHA/edit?usp=sharing"",""แผน!V78"")"),20)</f>
        <v>20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IFERROR(__xludf.DUMMYFUNCTION("IMPORTRANGE(""https://docs.google.com/spreadsheets/d/1QqKyyYR6Q21VydFLVH3TRQUabQu_ym0Zz7PgGX0-kHA/edit?usp=sharing"",""แผน!W78"")"),2)</f>
        <v>2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IFERROR(__xludf.DUMMYFUNCTION("IMPORTRANGE(""https://docs.google.com/spreadsheets/d/1QqKyyYR6Q21VydFLVH3TRQUabQu_ym0Zz7PgGX0-kHA/edit?usp=sharing"",""แผน!X78"")"),0)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13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24065</v>
      </c>
      <c r="M168" s="497">
        <f t="shared" ca="1" si="88"/>
        <v>24065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IFERROR(__xludf.DUMMYFUNCTION("IMPORTRANGE(""https://docs.google.com/spreadsheets/d/1MeEWN-I1oV_STSDYn1IFDPWt_1FKiwhDph83XaGc0o0/edit?usp=sharing"",""งบพรบ!CJ78"")"),24065)</f>
        <v>24065</v>
      </c>
      <c r="N170" s="93">
        <f ca="1">IFERROR(__xludf.DUMMYFUNCTION("IMPORTRANGE(""https://docs.google.com/spreadsheets/d/1MeEWN-I1oV_STSDYn1IFDPWt_1FKiwhDph83XaGc0o0/edit?usp=sharing"",""งบพรบ!CL78"")"),0)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13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IFERROR(__xludf.DUMMYFUNCTION("IMPORTRANGE(""https://docs.google.com/spreadsheets/d/1QqKyyYR6Q21VydFLVH3TRQUabQu_ym0Zz7PgGX0-kHA/edit?usp=sharing"",""แผน!Y78"")"),13)</f>
        <v>13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673400</v>
      </c>
      <c r="M181" s="155">
        <f t="shared" ca="1" si="92"/>
        <v>339600</v>
      </c>
      <c r="N181" s="155">
        <f t="shared" ca="1" si="92"/>
        <v>61110.69</v>
      </c>
      <c r="O181" s="155">
        <f t="shared" ref="O181:O189" ca="1" si="93">IF(L181&gt;0,N181*100/L181,0)</f>
        <v>9.0749465399465397</v>
      </c>
      <c r="P181" s="155">
        <f t="shared" ref="P181:P189" ca="1" si="94">IF(M181&gt;0,N181*100/M181,0)</f>
        <v>17.994902826855125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673400</v>
      </c>
      <c r="M183" s="93">
        <f t="shared" ca="1" si="95"/>
        <v>339600</v>
      </c>
      <c r="N183" s="93">
        <f t="shared" ca="1" si="95"/>
        <v>61110.69</v>
      </c>
      <c r="O183" s="93">
        <f t="shared" ca="1" si="93"/>
        <v>9.0749465399465397</v>
      </c>
      <c r="P183" s="93">
        <f t="shared" ca="1" si="94"/>
        <v>17.994902826855125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673400</v>
      </c>
      <c r="M184" s="497">
        <f t="shared" ca="1" si="96"/>
        <v>339600</v>
      </c>
      <c r="N184" s="497">
        <f t="shared" ca="1" si="96"/>
        <v>61110.69</v>
      </c>
      <c r="O184" s="497">
        <f t="shared" ca="1" si="93"/>
        <v>9.0749465399465397</v>
      </c>
      <c r="P184" s="497">
        <f t="shared" ca="1" si="94"/>
        <v>17.994902826855125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IFERROR(__xludf.DUMMYFUNCTION("IMPORTRANGE(""https://docs.google.com/spreadsheets/d/1MeEWN-I1oV_STSDYn1IFDPWt_1FKiwhDph83XaGc0o0/edit?usp=sharing"",""งบพรบ!CT78"")"),339600)</f>
        <v>339600</v>
      </c>
      <c r="N186" s="93">
        <f ca="1">IFERROR(__xludf.DUMMYFUNCTION("IMPORTRANGE(""https://docs.google.com/spreadsheets/d/1MeEWN-I1oV_STSDYn1IFDPWt_1FKiwhDph83XaGc0o0/edit?usp=sharing"",""งบพรบ!CV78"")"),61110.69)</f>
        <v>61110.69</v>
      </c>
      <c r="O186" s="93">
        <f t="shared" ca="1" si="93"/>
        <v>9.0749465399465397</v>
      </c>
      <c r="P186" s="93">
        <f t="shared" ca="1" si="94"/>
        <v>17.994902826855125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5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IFERROR(__xludf.DUMMYFUNCTION("IMPORTRANGE(""https://docs.google.com/spreadsheets/d/1QqKyyYR6Q21VydFLVH3TRQUabQu_ym0Zz7PgGX0-kHA/edit?usp=sharing"",""แผน!AC78"")"),4)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54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54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3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44000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IFERROR(__xludf.DUMMYFUNCTION("IMPORTRANGE(""https://docs.google.com/spreadsheets/d/1QqKyyYR6Q21VydFLVH3TRQUabQu_ym0Zz7PgGX0-kHA/edit?usp=sharing"",""แผน!AE78"")"),3000)</f>
        <v>3000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IFERROR(__xludf.DUMMYFUNCTION("IMPORTRANGE(""https://docs.google.com/spreadsheets/d/1QqKyyYR6Q21VydFLVH3TRQUabQu_ym0Zz7PgGX0-kHA/edit?usp=sharing"",""แผน!AF78"")"),24000)</f>
        <v>24000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IFERROR(__xludf.DUMMYFUNCTION("IMPORTRANGE(""https://docs.google.com/spreadsheets/d/1QqKyyYR6Q21VydFLVH3TRQUabQu_ym0Zz7PgGX0-kHA/edit?usp=sharing"",""แผน!AG78"")"),12000)</f>
        <v>12000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IFERROR(__xludf.DUMMYFUNCTION("IMPORTRANGE(""https://docs.google.com/spreadsheets/d/1QqKyyYR6Q21VydFLVH3TRQUabQu_ym0Zz7PgGX0-kHA/edit?usp=sharing"",""แผน!AH78"")"),5000)</f>
        <v>5000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IFERROR(__xludf.DUMMYFUNCTION("IMPORTRANGE(""https://docs.google.com/spreadsheets/d/1QqKyyYR6Q21VydFLVH3TRQUabQu_ym0Zz7PgGX0-kHA/edit?usp=sharing"",""แผน!AI78"")"),3)</f>
        <v>3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1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2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IFERROR(__xludf.DUMMYFUNCTION("IMPORTRANGE(""https://docs.google.com/spreadsheets/d/1QqKyyYR6Q21VydFLVH3TRQUabQu_ym0Zz7PgGX0-kHA/edit?usp=sharing"",""แผน!AK78"")"),2000)</f>
        <v>2000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IFERROR(__xludf.DUMMYFUNCTION("IMPORTRANGE(""https://docs.google.com/spreadsheets/d/1QqKyyYR6Q21VydFLVH3TRQUabQu_ym0Zz7PgGX0-kHA/edit?usp=sharing"",""แผน!AL78"")"),10000)</f>
        <v>10000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IFERROR(__xludf.DUMMYFUNCTION("IMPORTRANGE(""https://docs.google.com/spreadsheets/d/1QqKyyYR6Q21VydFLVH3TRQUabQu_ym0Zz7PgGX0-kHA/edit?usp=sharing"",""แผน!AM78"")"),16000)</f>
        <v>16000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IFERROR(__xludf.DUMMYFUNCTION("IMPORTRANGE(""https://docs.google.com/spreadsheets/d/1QqKyyYR6Q21VydFLVH3TRQUabQu_ym0Zz7PgGX0-kHA/edit?usp=sharing"",""แผน!AN78"")"),2)</f>
        <v>2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IFERROR(__xludf.DUMMYFUNCTION("IMPORTRANGE(""https://docs.google.com/spreadsheets/d/1QqKyyYR6Q21VydFLVH3TRQUabQu_ym0Zz7PgGX0-kHA/edit?usp=sharing"",""แผน!AN78"")"),2)</f>
        <v>2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50000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IFERROR(__xludf.DUMMYFUNCTION("IMPORTRANGE(""https://docs.google.com/spreadsheets/d/1QqKyyYR6Q21VydFLVH3TRQUabQu_ym0Zz7PgGX0-kHA/edit?usp=sharing"",""แผน!AP78"")"),5000)</f>
        <v>5000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IFERROR(__xludf.DUMMYFUNCTION("IMPORTRANGE(""https://docs.google.com/spreadsheets/d/1QqKyyYR6Q21VydFLVH3TRQUabQu_ym0Zz7PgGX0-kHA/edit?usp=sharing"",""แผน!AQ78"")"),13500)</f>
        <v>13500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IFERROR(__xludf.DUMMYFUNCTION("IMPORTRANGE(""https://docs.google.com/spreadsheets/d/1QqKyyYR6Q21VydFLVH3TRQUabQu_ym0Zz7PgGX0-kHA/edit?usp=sharing"",""แผน!AR78"")"),0)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IFERROR(__xludf.DUMMYFUNCTION("IMPORTRANGE(""https://docs.google.com/spreadsheets/d/1QqKyyYR6Q21VydFLVH3TRQUabQu_ym0Zz7PgGX0-kHA/edit?usp=sharing"",""แผน!AT78"")"),50000)</f>
        <v>50000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IFERROR(__xludf.DUMMYFUNCTION("IMPORTRANGE(""https://docs.google.com/spreadsheets/d/1QqKyyYR6Q21VydFLVH3TRQUabQu_ym0Zz7PgGX0-kHA/edit?usp=sharing"",""แผน!AT78"")"),50000)</f>
        <v>50000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IFERROR(__xludf.DUMMYFUNCTION("IMPORTRANGE(""https://docs.google.com/spreadsheets/d/1QqKyyYR6Q21VydFLVH3TRQUabQu_ym0Zz7PgGX0-kHA/edit?usp=sharing"",""แผน!AS78"")"),0)</f>
        <v>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100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293300</v>
      </c>
      <c r="M227" s="355"/>
      <c r="N227" s="355">
        <f t="shared" ref="N227:N231" si="107">N238+N249</f>
        <v>39660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39660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88300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100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4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338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100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293300</v>
      </c>
      <c r="M238" s="155"/>
      <c r="N238" s="155">
        <f>N239+N240+N241+N242</f>
        <v>39660</v>
      </c>
      <c r="O238" s="155">
        <f ca="1">IF(L238&gt;0,N238*100/L238,0)</f>
        <v>13.52199113535629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IFERROR(__xludf.DUMMYFUNCTION("IMPORTRANGE(""https://docs.google.com/spreadsheets/d/1QqKyyYR6Q21VydFLVH3TRQUabQu_ym0Zz7PgGX0-kHA/edit?usp=sharing"",""แผน!AV78"")"),165000)</f>
        <v>165000</v>
      </c>
      <c r="M239" s="321"/>
      <c r="N239" s="854">
        <v>39660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IFERROR(__xludf.DUMMYFUNCTION("IMPORTRANGE(""https://docs.google.com/spreadsheets/d/1QqKyyYR6Q21VydFLVH3TRQUabQu_ym0Zz7PgGX0-kHA/edit?usp=sharing"",""แผน!AW78"")"),88300)</f>
        <v>88300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IFERROR(__xludf.DUMMYFUNCTION("IMPORTRANGE(""https://docs.google.com/spreadsheets/d/1QqKyyYR6Q21VydFLVH3TRQUabQu_ym0Zz7PgGX0-kHA/edit?usp=sharing"",""แผน!AX78"")"),0)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IFERROR(__xludf.DUMMYFUNCTION("IMPORTRANGE(""https://docs.google.com/spreadsheets/d/1QqKyyYR6Q21VydFLVH3TRQUabQu_ym0Zz7PgGX0-kHA/edit?usp=sharing"",""แผน!AY78"")"),40000)</f>
        <v>40000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IFERROR(__xludf.DUMMYFUNCTION("IMPORTRANGE(""https://docs.google.com/spreadsheets/d/1QqKyyYR6Q21VydFLVH3TRQUabQu_ym0Zz7PgGX0-kHA/edit?usp=sharing"",""แผน!BE78"")"),100)</f>
        <v>100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>
        <v>0</v>
      </c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>
        <v>4</v>
      </c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IFERROR(__xludf.DUMMYFUNCTION("IMPORTRANGE(""https://docs.google.com/spreadsheets/d/1QqKyyYR6Q21VydFLVH3TRQUabQu_ym0Zz7PgGX0-kHA/edit?usp=sharing"",""แผน!AZ78"")"),0)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IFERROR(__xludf.DUMMYFUNCTION("IMPORTRANGE(""https://docs.google.com/spreadsheets/d/1QqKyyYR6Q21VydFLVH3TRQUabQu_ym0Zz7PgGX0-kHA/edit?usp=sharing"",""แผน!BA78"")"),0)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IFERROR(__xludf.DUMMYFUNCTION("IMPORTRANGE(""https://docs.google.com/spreadsheets/d/1QqKyyYR6Q21VydFLVH3TRQUabQu_ym0Zz7PgGX0-kHA/edit?usp=sharing"",""แผน!BB78"")"),0)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IFERROR(__xludf.DUMMYFUNCTION("IMPORTRANGE(""https://docs.google.com/spreadsheets/d/1QqKyyYR6Q21VydFLVH3TRQUabQu_ym0Zz7PgGX0-kHA/edit?usp=sharing"",""แผน!BC78"")"),0)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IFERROR(__xludf.DUMMYFUNCTION("IMPORTRANGE(""https://docs.google.com/spreadsheets/d/1QqKyyYR6Q21VydFLVH3TRQUabQu_ym0Zz7PgGX0-kHA/edit?usp=sharing"",""แผน!BF78"")"),0)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26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173700</v>
      </c>
      <c r="M261" s="155">
        <f t="shared" ca="1" si="116"/>
        <v>65000</v>
      </c>
      <c r="N261" s="155">
        <f t="shared" ca="1" si="116"/>
        <v>11000</v>
      </c>
      <c r="O261" s="155">
        <f t="shared" ref="O261:O269" ca="1" si="117">IF(L261&gt;0,N261*100/L261,0)</f>
        <v>6.3327576280944156</v>
      </c>
      <c r="P261" s="155">
        <f t="shared" ref="P261:P269" ca="1" si="118">IF(M261&gt;0,N261*100/M261,0)</f>
        <v>16.923076923076923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173700</v>
      </c>
      <c r="M263" s="93">
        <f t="shared" ca="1" si="119"/>
        <v>65000</v>
      </c>
      <c r="N263" s="93">
        <f t="shared" ca="1" si="119"/>
        <v>11000</v>
      </c>
      <c r="O263" s="93">
        <f t="shared" ca="1" si="117"/>
        <v>6.3327576280944156</v>
      </c>
      <c r="P263" s="93">
        <f t="shared" ca="1" si="118"/>
        <v>16.923076923076923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173700</v>
      </c>
      <c r="M264" s="497">
        <f t="shared" ca="1" si="120"/>
        <v>65000</v>
      </c>
      <c r="N264" s="497">
        <f t="shared" ca="1" si="120"/>
        <v>11000</v>
      </c>
      <c r="O264" s="497">
        <f t="shared" ca="1" si="117"/>
        <v>6.3327576280944156</v>
      </c>
      <c r="P264" s="497">
        <f t="shared" ca="1" si="118"/>
        <v>16.923076923076923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IFERROR(__xludf.DUMMYFUNCTION("IMPORTRANGE(""https://docs.google.com/spreadsheets/d/1MeEWN-I1oV_STSDYn1IFDPWt_1FKiwhDph83XaGc0o0/edit?usp=sharing"",""งบพรบ!DD78"")"),65000)</f>
        <v>65000</v>
      </c>
      <c r="N266" s="93">
        <f ca="1">IFERROR(__xludf.DUMMYFUNCTION("IMPORTRANGE(""https://docs.google.com/spreadsheets/d/1MeEWN-I1oV_STSDYn1IFDPWt_1FKiwhDph83XaGc0o0/edit?usp=sharing"",""งบพรบ!DF78"")"),11000)</f>
        <v>11000</v>
      </c>
      <c r="O266" s="93">
        <f t="shared" ca="1" si="117"/>
        <v>6.3327576280944156</v>
      </c>
      <c r="P266" s="93">
        <f t="shared" ca="1" si="118"/>
        <v>16.923076923076923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IFERROR(__xludf.DUMMYFUNCTION("IMPORTRANGE(""https://docs.google.com/spreadsheets/d/1QqKyyYR6Q21VydFLVH3TRQUabQu_ym0Zz7PgGX0-kHA/edit?usp=sharing"",""แผน!EA78"")"),26)</f>
        <v>26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IFERROR(__xludf.DUMMYFUNCTION("IMPORTRANGE(""https://docs.google.com/spreadsheets/d/1QqKyyYR6Q21VydFLVH3TRQUabQu_ym0Zz7PgGX0-kHA/edit?usp=sharing"",""แผน!EC78"")"),0)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IFERROR(__xludf.DUMMYFUNCTION("IMPORTRANGE(""https://docs.google.com/spreadsheets/d/1QqKyyYR6Q21VydFLVH3TRQUabQu_ym0Zz7PgGX0-kHA/edit?usp=sharing"",""แผน!EB78"")"),0)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IFERROR(__xludf.DUMMYFUNCTION("IMPORTRANGE(""https://docs.google.com/spreadsheets/d/1QqKyyYR6Q21VydFLVH3TRQUabQu_ym0Zz7PgGX0-kHA/edit?usp=sharing"",""แผน!EB78"")"),0)</f>
        <v>0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IFERROR(__xludf.DUMMYFUNCTION("IMPORTRANGE(""https://docs.google.com/spreadsheets/d/1MeEWN-I1oV_STSDYn1IFDPWt_1FKiwhDph83XaGc0o0/edit?usp=sharing"",""งบพรบ!DX78"")"),49120)</f>
        <v>49120</v>
      </c>
      <c r="N303" s="93">
        <f ca="1">IFERROR(__xludf.DUMMYFUNCTION("IMPORTRANGE(""https://docs.google.com/spreadsheets/d/1MeEWN-I1oV_STSDYn1IFDPWt_1FKiwhDph83XaGc0o0/edit?usp=sharing"",""งบพรบ!DZ78"")"),0)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IFERROR(__xludf.DUMMYFUNCTION("IMPORTRANGE(""https://docs.google.com/spreadsheets/d/1QqKyyYR6Q21VydFLVH3TRQUabQu_ym0Zz7PgGX0-kHA/edit?usp=sharing"",""แผน!ED78"")"),20)</f>
        <v>20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IFERROR(__xludf.DUMMYFUNCTION("IMPORTRANGE(""https://docs.google.com/spreadsheets/d/1QqKyyYR6Q21VydFLVH3TRQUabQu_ym0Zz7PgGX0-kHA/edit?usp=sharing"",""แผน!ED78"")"),20)</f>
        <v>20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IFERROR(__xludf.DUMMYFUNCTION("IMPORTRANGE(""https://docs.google.com/spreadsheets/d/1QqKyyYR6Q21VydFLVH3TRQUabQu_ym0Zz7PgGX0-kHA/edit?usp=sharing"",""แผน!ED78"")"),20)</f>
        <v>20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IFERROR(__xludf.DUMMYFUNCTION("IMPORTRANGE(""https://docs.google.com/spreadsheets/d/1QqKyyYR6Q21VydFLVH3TRQUabQu_ym0Zz7PgGX0-kHA/edit?usp=sharing"",""แผน!EE78"")"),4)</f>
        <v>4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IFERROR(__xludf.DUMMYFUNCTION("IMPORTRANGE(""https://docs.google.com/spreadsheets/d/1QqKyyYR6Q21VydFLVH3TRQUabQu_ym0Zz7PgGX0-kHA/edit?usp=sharing"",""แผน!EF78"")"),0)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IFERROR(__xludf.DUMMYFUNCTION("IMPORTRANGE(""https://docs.google.com/spreadsheets/d/1QqKyyYR6Q21VydFLVH3TRQUabQu_ym0Zz7PgGX0-kHA/edit?usp=sharing"",""แผน!EG78"")"),1600)</f>
        <v>1600</v>
      </c>
      <c r="J327" s="444">
        <f ca="1">J338+J341+J342+J343</f>
        <v>488</v>
      </c>
      <c r="K327" s="445">
        <f ca="1">IF(I327&gt;0,J327*100/I327,0)</f>
        <v>30.5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87000</v>
      </c>
      <c r="N328" s="155">
        <f t="shared" ca="1" si="149"/>
        <v>20089.330000000002</v>
      </c>
      <c r="O328" s="155">
        <f t="shared" ref="O328:O336" ca="1" si="150">IF(L328&gt;0,N328*100/L328,0)</f>
        <v>11.54559195402299</v>
      </c>
      <c r="P328" s="155">
        <f t="shared" ref="P328:P336" ca="1" si="151">IF(M328&gt;0,N328*100/M328,0)</f>
        <v>23.091183908045981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174000</v>
      </c>
      <c r="M330" s="93">
        <f t="shared" ca="1" si="152"/>
        <v>87000</v>
      </c>
      <c r="N330" s="93">
        <f t="shared" ca="1" si="152"/>
        <v>20089.330000000002</v>
      </c>
      <c r="O330" s="93">
        <f t="shared" ca="1" si="150"/>
        <v>11.54559195402299</v>
      </c>
      <c r="P330" s="93">
        <f t="shared" ca="1" si="151"/>
        <v>23.091183908045981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174000</v>
      </c>
      <c r="M331" s="497">
        <f t="shared" ca="1" si="153"/>
        <v>87000</v>
      </c>
      <c r="N331" s="497">
        <f t="shared" ca="1" si="153"/>
        <v>20089.330000000002</v>
      </c>
      <c r="O331" s="497">
        <f t="shared" ca="1" si="150"/>
        <v>11.54559195402299</v>
      </c>
      <c r="P331" s="497">
        <f t="shared" ca="1" si="151"/>
        <v>23.091183908045981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IFERROR(__xludf.DUMMYFUNCTION("IMPORTRANGE(""https://docs.google.com/spreadsheets/d/1MeEWN-I1oV_STSDYn1IFDPWt_1FKiwhDph83XaGc0o0/edit?usp=sharing"",""งบพรบ!ER78"")"),87000)</f>
        <v>87000</v>
      </c>
      <c r="N333" s="93">
        <f ca="1">IFERROR(__xludf.DUMMYFUNCTION("IMPORTRANGE(""https://docs.google.com/spreadsheets/d/1MeEWN-I1oV_STSDYn1IFDPWt_1FKiwhDph83XaGc0o0/edit?usp=sharing"",""งบพรบ!ET78"")"),20089.33)</f>
        <v>20089.330000000002</v>
      </c>
      <c r="O333" s="93">
        <f t="shared" ca="1" si="150"/>
        <v>11.54559195402299</v>
      </c>
      <c r="P333" s="93">
        <f t="shared" ca="1" si="151"/>
        <v>23.091183908045981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IFERROR(__xludf.DUMMYFUNCTION("IMPORTRANGE(""https://docs.google.com/spreadsheets/d/1QqKyyYR6Q21VydFLVH3TRQUabQu_ym0Zz7PgGX0-kHA/edit?usp=sharing"",""แผน!EG78"")"),1600)</f>
        <v>1600</v>
      </c>
      <c r="J338" s="269">
        <f ca="1">IFERROR(__xludf.DUMMYFUNCTION("IMPORTRANGE(""https://docs.google.com/spreadsheets/d/1kVcqe37tkHyjCSG3S0O1AXqVkqjo8mSIZil3BcpIysc/edit?usp=sharing"",""ศูนย์!D78"")"),488)</f>
        <v>488</v>
      </c>
      <c r="K338" s="497">
        <f ca="1">IF(I338&gt;0,J338*100/I338,0)</f>
        <v>30.5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IFERROR(__xludf.DUMMYFUNCTION("IMPORTRANGE(""https://docs.google.com/spreadsheets/d/1QqKyyYR6Q21VydFLVH3TRQUabQu_ym0Zz7PgGX0-kHA/edit?usp=sharing"",""แผน!EH78"")"),8)</f>
        <v>8</v>
      </c>
      <c r="J340" s="269">
        <f ca="1">IFERROR(__xludf.DUMMYFUNCTION("IMPORTRANGE(""https://docs.google.com/spreadsheets/d/1kVcqe37tkHyjCSG3S0O1AXqVkqjo8mSIZil3BcpIysc/edit?usp=sharing"",""ศูนย์!E78"")"),0)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IFERROR(__xludf.DUMMYFUNCTION("IMPORTRANGE(""https://docs.google.com/spreadsheets/d/1kVcqe37tkHyjCSG3S0O1AXqVkqjo8mSIZil3BcpIysc/edit?usp=sharing"",""ศูนย์!F78"")"),0)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695090</v>
      </c>
      <c r="M345" s="155">
        <f t="shared" ca="1" si="155"/>
        <v>384550</v>
      </c>
      <c r="N345" s="155">
        <f t="shared" ca="1" si="155"/>
        <v>170877.4</v>
      </c>
      <c r="O345" s="155">
        <f t="shared" ref="O345:O353" ca="1" si="156">IF(L345&gt;0,N345*100/L345,0)</f>
        <v>24.583492785106966</v>
      </c>
      <c r="P345" s="155">
        <f t="shared" ref="P345:P353" ca="1" si="157">IF(M345&gt;0,N345*100/M345,0)</f>
        <v>44.435678065271098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695090</v>
      </c>
      <c r="M347" s="93">
        <f t="shared" ca="1" si="158"/>
        <v>384550</v>
      </c>
      <c r="N347" s="93">
        <f t="shared" ca="1" si="158"/>
        <v>170877.4</v>
      </c>
      <c r="O347" s="93">
        <f t="shared" ca="1" si="156"/>
        <v>24.583492785106966</v>
      </c>
      <c r="P347" s="93">
        <f t="shared" ca="1" si="157"/>
        <v>44.435678065271098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619090</v>
      </c>
      <c r="M348" s="497">
        <f t="shared" ca="1" si="159"/>
        <v>309550</v>
      </c>
      <c r="N348" s="497">
        <f t="shared" ca="1" si="159"/>
        <v>95877.4</v>
      </c>
      <c r="O348" s="497">
        <f t="shared" ca="1" si="156"/>
        <v>15.486827440275242</v>
      </c>
      <c r="P348" s="497">
        <f t="shared" ca="1" si="157"/>
        <v>30.973154579227913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IFERROR(__xludf.DUMMYFUNCTION("IMPORTRANGE(""https://docs.google.com/spreadsheets/d/1MeEWN-I1oV_STSDYn1IFDPWt_1FKiwhDph83XaGc0o0/edit?usp=sharing"",""งบพรบ!FB78"")"),309550)</f>
        <v>309550</v>
      </c>
      <c r="N350" s="93">
        <f ca="1">IFERROR(__xludf.DUMMYFUNCTION("IMPORTRANGE(""https://docs.google.com/spreadsheets/d/1MeEWN-I1oV_STSDYn1IFDPWt_1FKiwhDph83XaGc0o0/edit?usp=sharing"",""งบพรบ!FD78"")"),95877.4)</f>
        <v>95877.4</v>
      </c>
      <c r="O350" s="93">
        <f t="shared" ca="1" si="156"/>
        <v>15.486827440275242</v>
      </c>
      <c r="P350" s="93">
        <f t="shared" ca="1" si="157"/>
        <v>30.973154579227913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75000</v>
      </c>
      <c r="N351" s="497">
        <f t="shared" ca="1" si="160"/>
        <v>75000</v>
      </c>
      <c r="O351" s="497">
        <f t="shared" ca="1" si="156"/>
        <v>98.684210526315795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IFERROR(__xludf.DUMMYFUNCTION("IMPORTRANGE(""https://docs.google.com/spreadsheets/d/1QqKyyYR6Q21VydFLVH3TRQUabQu_ym0Zz7PgGX0-kHA/edit?usp=sharing"",""แผน!EP78"")"),250)</f>
        <v>250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IFERROR(__xludf.DUMMYFUNCTION("IMPORTRANGE(""https://docs.google.com/spreadsheets/d/1XWAQStnk-4SwqDmLtmXYiTMKHgktTP8We1SCoS47DrQ/edit?usp=sharing"",""จัดที่ดิน!W78"")"),30)</f>
        <v>30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IFERROR(__xludf.DUMMYFUNCTION("IMPORTRANGE(""https://docs.google.com/spreadsheets/d/1QqKyyYR6Q21VydFLVH3TRQUabQu_ym0Zz7PgGX0-kHA/edit?usp=sharing"",""แผน!EO78"")"),3020)</f>
        <v>3020</v>
      </c>
      <c r="J359" s="269">
        <f ca="1">IFERROR(__xludf.DUMMYFUNCTION("IMPORTRANGE(""https://docs.google.com/spreadsheets/d/1XWAQStnk-4SwqDmLtmXYiTMKHgktTP8We1SCoS47DrQ/edit?usp=sharing"",""จัดที่ดิน!X78"")"),168.42)</f>
        <v>168.42</v>
      </c>
      <c r="K359" s="497">
        <f t="shared" ca="1" si="161"/>
        <v>5.5768211920529804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IFERROR(__xludf.DUMMYFUNCTION("IMPORTRANGE(""https://docs.google.com/spreadsheets/d/1QqKyyYR6Q21VydFLVH3TRQUabQu_ym0Zz7PgGX0-kHA/edit?usp=sharing"",""แผน!EP78"")"),250)</f>
        <v>250</v>
      </c>
      <c r="J360" s="269">
        <f ca="1">IFERROR(__xludf.DUMMYFUNCTION("IMPORTRANGE(""https://docs.google.com/spreadsheets/d/1XWAQStnk-4SwqDmLtmXYiTMKHgktTP8We1SCoS47DrQ/edit?usp=sharing"",""จัดที่ดิน!Y78"")"),15)</f>
        <v>15</v>
      </c>
      <c r="K360" s="497">
        <f t="shared" ca="1" si="161"/>
        <v>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IFERROR(__xludf.DUMMYFUNCTION("IMPORTRANGE(""https://docs.google.com/spreadsheets/d/1XWAQStnk-4SwqDmLtmXYiTMKHgktTP8We1SCoS47DrQ/edit?usp=sharing"",""จัดที่ดิน!Z78"")"),160.94)</f>
        <v>160.94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IFERROR(__xludf.DUMMYFUNCTION("IMPORTRANGE(""https://docs.google.com/spreadsheets/d/1QqKyyYR6Q21VydFLVH3TRQUabQu_ym0Zz7PgGX0-kHA/edit?usp=sharing"",""แผน!EP78"")"),250)</f>
        <v>250</v>
      </c>
      <c r="J362" s="269">
        <f ca="1">IFERROR(__xludf.DUMMYFUNCTION("IMPORTRANGE(""https://docs.google.com/spreadsheets/d/1XWAQStnk-4SwqDmLtmXYiTMKHgktTP8We1SCoS47DrQ/edit?usp=sharing"",""จัดที่ดิน!AA78"")"),0)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IFERROR(__xludf.DUMMYFUNCTION("IMPORTRANGE(""https://docs.google.com/spreadsheets/d/1XWAQStnk-4SwqDmLtmXYiTMKHgktTP8We1SCoS47DrQ/edit?usp=sharing"",""จัดที่ดิน!AB78"")"),0)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600</v>
      </c>
      <c r="J364" s="478">
        <f t="shared" ca="1" si="162"/>
        <v>56</v>
      </c>
      <c r="K364" s="479">
        <f t="shared" ca="1" si="161"/>
        <v>9.3333333333333339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IFERROR(__xludf.DUMMYFUNCTION("IMPORTRANGE(""https://docs.google.com/spreadsheets/d/1QqKyyYR6Q21VydFLVH3TRQUabQu_ym0Zz7PgGX0-kHA/edit?usp=sharing"",""แผน!EJ78"")"),150)</f>
        <v>150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IFERROR(__xludf.DUMMYFUNCTION("IMPORTRANGE(""https://docs.google.com/spreadsheets/d/1XWAQStnk-4SwqDmLtmXYiTMKHgktTP8We1SCoS47DrQ/edit?usp=sharing"",""จัดที่ดิน!E78"")"),23)</f>
        <v>23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IFERROR(__xludf.DUMMYFUNCTION("IMPORTRANGE(""https://docs.google.com/spreadsheets/d/1QqKyyYR6Q21VydFLVH3TRQUabQu_ym0Zz7PgGX0-kHA/edit?usp=sharing"",""แผน!EI78"")"),1520)</f>
        <v>1520</v>
      </c>
      <c r="J369" s="269">
        <f ca="1">IFERROR(__xludf.DUMMYFUNCTION("IMPORTRANGE(""https://docs.google.com/spreadsheets/d/1XWAQStnk-4SwqDmLtmXYiTMKHgktTP8We1SCoS47DrQ/edit?usp=sharing"",""จัดที่ดิน!F78"")"),111.69)</f>
        <v>111.69</v>
      </c>
      <c r="K369" s="497">
        <f t="shared" ca="1" si="163"/>
        <v>7.3480263157894736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IFERROR(__xludf.DUMMYFUNCTION("IMPORTRANGE(""https://docs.google.com/spreadsheets/d/1QqKyyYR6Q21VydFLVH3TRQUabQu_ym0Zz7PgGX0-kHA/edit?usp=sharing"",""แผน!EJ78"")"),150)</f>
        <v>150</v>
      </c>
      <c r="J370" s="269">
        <f ca="1">IFERROR(__xludf.DUMMYFUNCTION("IMPORTRANGE(""https://docs.google.com/spreadsheets/d/1XWAQStnk-4SwqDmLtmXYiTMKHgktTP8We1SCoS47DrQ/edit?usp=sharing"",""จัดที่ดิน!G78"")"),11)</f>
        <v>11</v>
      </c>
      <c r="K370" s="497">
        <f t="shared" ca="1" si="163"/>
        <v>7.333333333333333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IFERROR(__xludf.DUMMYFUNCTION("IMPORTRANGE(""https://docs.google.com/spreadsheets/d/1XWAQStnk-4SwqDmLtmXYiTMKHgktTP8We1SCoS47DrQ/edit?usp=sharing"",""จัดที่ดิน!H78"")"),129.21)</f>
        <v>129.21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IFERROR(__xludf.DUMMYFUNCTION("IMPORTRANGE(""https://docs.google.com/spreadsheets/d/1QqKyyYR6Q21VydFLVH3TRQUabQu_ym0Zz7PgGX0-kHA/edit?usp=sharing"",""แผน!EJ78"")"),150)</f>
        <v>150</v>
      </c>
      <c r="J372" s="269">
        <f ca="1">IFERROR(__xludf.DUMMYFUNCTION("IMPORTRANGE(""https://docs.google.com/spreadsheets/d/1XWAQStnk-4SwqDmLtmXYiTMKHgktTP8We1SCoS47DrQ/edit?usp=sharing"",""จัดที่ดิน!I78"")"),0)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IFERROR(__xludf.DUMMYFUNCTION("IMPORTRANGE(""https://docs.google.com/spreadsheets/d/1XWAQStnk-4SwqDmLtmXYiTMKHgktTP8We1SCoS47DrQ/edit?usp=sharing"",""จัดที่ดิน!J78"")"),0)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IFERROR(__xludf.DUMMYFUNCTION("IMPORTRANGE(""https://docs.google.com/spreadsheets/d/1QqKyyYR6Q21VydFLVH3TRQUabQu_ym0Zz7PgGX0-kHA/edit?usp=sharing"",""แผน!EU78"")"),450)</f>
        <v>450</v>
      </c>
      <c r="J374" s="490">
        <f ca="1">J381</f>
        <v>56</v>
      </c>
      <c r="K374" s="491">
        <f t="shared" ca="1" si="163"/>
        <v>12.444444444444445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IFERROR(__xludf.DUMMYFUNCTION("IMPORTRANGE(""https://docs.google.com/spreadsheets/d/1XWAQStnk-4SwqDmLtmXYiTMKHgktTP8We1SCoS47DrQ/edit?usp=sharing"",""จัดที่ดิน!AH78"")"),7)</f>
        <v>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IFERROR(__xludf.DUMMYFUNCTION("IMPORTRANGE(""https://docs.google.com/spreadsheets/d/1QqKyyYR6Q21VydFLVH3TRQUabQu_ym0Zz7PgGX0-kHA/edit?usp=sharing"",""แผน!ET78"")"),1500)</f>
        <v>1500</v>
      </c>
      <c r="J378" s="269">
        <f ca="1">IFERROR(__xludf.DUMMYFUNCTION("IMPORTRANGE(""https://docs.google.com/spreadsheets/d/1XWAQStnk-4SwqDmLtmXYiTMKHgktTP8We1SCoS47DrQ/edit?usp=sharing"",""จัดที่ดิน!AI78"")"),56.73)</f>
        <v>56.73</v>
      </c>
      <c r="K378" s="497">
        <f t="shared" ca="1" si="164"/>
        <v>3.782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IFERROR(__xludf.DUMMYFUNCTION("IMPORTRANGE(""https://docs.google.com/spreadsheets/d/1QqKyyYR6Q21VydFLVH3TRQUabQu_ym0Zz7PgGX0-kHA/edit?usp=sharing"",""แผน!EU78"")"),450)</f>
        <v>450</v>
      </c>
      <c r="J379" s="269">
        <f ca="1">IFERROR(__xludf.DUMMYFUNCTION("IMPORTRANGE(""https://docs.google.com/spreadsheets/d/1XWAQStnk-4SwqDmLtmXYiTMKHgktTP8We1SCoS47DrQ/edit?usp=sharing"",""จัดที่ดิน!AJ78"")"),60)</f>
        <v>60</v>
      </c>
      <c r="K379" s="497">
        <f t="shared" ca="1" si="164"/>
        <v>13.333333333333334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IFERROR(__xludf.DUMMYFUNCTION("IMPORTRANGE(""https://docs.google.com/spreadsheets/d/1XWAQStnk-4SwqDmLtmXYiTMKHgktTP8We1SCoS47DrQ/edit?usp=sharing"",""จัดที่ดิน!AK78"")"),580.79)</f>
        <v>580.79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IFERROR(__xludf.DUMMYFUNCTION("IMPORTRANGE(""https://docs.google.com/spreadsheets/d/1QqKyyYR6Q21VydFLVH3TRQUabQu_ym0Zz7PgGX0-kHA/edit?usp=sharing"",""แผน!EU78"")"),450)</f>
        <v>450</v>
      </c>
      <c r="J381" s="269">
        <f ca="1">IFERROR(__xludf.DUMMYFUNCTION("IMPORTRANGE(""https://docs.google.com/spreadsheets/d/1XWAQStnk-4SwqDmLtmXYiTMKHgktTP8We1SCoS47DrQ/edit?usp=sharing"",""จัดที่ดิน!AL78"")"),56)</f>
        <v>56</v>
      </c>
      <c r="K381" s="497">
        <f t="shared" ca="1" si="164"/>
        <v>12.444444444444445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IFERROR(__xludf.DUMMYFUNCTION("IMPORTRANGE(""https://docs.google.com/spreadsheets/d/1XWAQStnk-4SwqDmLtmXYiTMKHgktTP8We1SCoS47DrQ/edit?usp=sharing"",""จัดที่ดิน!AM78"")"),549.05)</f>
        <v>549.04999999999995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IFERROR(__xludf.DUMMYFUNCTION("IMPORTRANGE(""https://docs.google.com/spreadsheets/d/1QqKyyYR6Q21VydFLVH3TRQUabQu_ym0Zz7PgGX0-kHA/edit?usp=sharing"",""แผน!EW78"")"),40)</f>
        <v>40</v>
      </c>
      <c r="J385" s="500">
        <f ca="1">IFERROR(__xludf.DUMMYFUNCTION("IMPORTRANGE(""https://docs.google.com/spreadsheets/d/1XWAQStnk-4SwqDmLtmXYiTMKHgktTP8We1SCoS47DrQ/edit?usp=sharing"",""จัดที่ดิน!AP78"")"),0)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751203</v>
      </c>
      <c r="M414" s="548">
        <f t="shared" si="181"/>
        <v>0</v>
      </c>
      <c r="N414" s="548">
        <f t="shared" si="181"/>
        <v>81574.570000000007</v>
      </c>
      <c r="O414" s="548">
        <f ca="1">IF(L414&gt;0,N414*100/L414,0)</f>
        <v>10.859191190663511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1360</v>
      </c>
      <c r="O419" s="155">
        <f t="shared" ref="O419:O424" ca="1" si="185">IF(L419&gt;0,N419*100/L419,0)</f>
        <v>1.7289600813628274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1360</v>
      </c>
      <c r="O421" s="93">
        <f t="shared" ca="1" si="185"/>
        <v>1.7289600813628274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1360</v>
      </c>
      <c r="O422" s="497">
        <f t="shared" ca="1" si="185"/>
        <v>1.7289600813628274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v>0</v>
      </c>
      <c r="N424" s="93">
        <f>N425+N426+N427+N428</f>
        <v>1360</v>
      </c>
      <c r="O424" s="93">
        <f t="shared" ca="1" si="185"/>
        <v>1.7289600813628274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1360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IFERROR(__xludf.DUMMYFUNCTION("IMPORTRANGE(""https://docs.google.com/spreadsheets/d/1QqKyyYR6Q21VydFLVH3TRQUabQu_ym0Zz7PgGX0-kHA/edit?usp=sharing"",""แผน!FC78"")"),20)</f>
        <v>20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IFERROR(__xludf.DUMMYFUNCTION("IMPORTRANGE(""https://docs.google.com/spreadsheets/d/1QqKyyYR6Q21VydFLVH3TRQUabQu_ym0Zz7PgGX0-kHA/edit?usp=sharing"",""แผน!FD78"")"),0)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IFERROR(__xludf.DUMMYFUNCTION("IMPORTRANGE(""https://docs.google.com/spreadsheets/d/1QqKyyYR6Q21VydFLVH3TRQUabQu_ym0Zz7PgGX0-kHA/edit?usp=sharing"",""แผน!FE78"")"),0)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IFERROR(__xludf.DUMMYFUNCTION("IMPORTRANGE(""https://docs.google.com/spreadsheets/d/1QqKyyYR6Q21VydFLVH3TRQUabQu_ym0Zz7PgGX0-kHA/edit?usp=sharing"",""แผน!FF78"")"),20)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IFERROR(__xludf.DUMMYFUNCTION("IMPORTRANGE(""https://docs.google.com/spreadsheets/d/1QqKyyYR6Q21VydFLVH3TRQUabQu_ym0Zz7PgGX0-kHA/edit?usp=sharing"",""แผน!FG78"")"),1)</f>
        <v>1</v>
      </c>
      <c r="J440" s="214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6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IFERROR(__xludf.DUMMYFUNCTION("IMPORTRANGE(""https://docs.google.com/spreadsheets/d/1QqKyyYR6Q21VydFLVH3TRQUabQu_ym0Zz7PgGX0-kHA/edit?usp=sharing"",""แผน!FH78"")"),0)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IFERROR(__xludf.DUMMYFUNCTION("IMPORTRANGE(""https://docs.google.com/spreadsheets/d/1QqKyyYR6Q21VydFLVH3TRQUabQu_ym0Zz7PgGX0-kHA/edit?usp=sharing"",""แผน!FN78"")"),0)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IFERROR(__xludf.DUMMYFUNCTION("IMPORTRANGE(""https://docs.google.com/spreadsheets/d/1QqKyyYR6Q21VydFLVH3TRQUabQu_ym0Zz7PgGX0-kHA/edit?usp=sharing"",""แผน!FO78"")"),0)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IFERROR(__xludf.DUMMYFUNCTION("IMPORTRANGE(""https://docs.google.com/spreadsheets/d/1QqKyyYR6Q21VydFLVH3TRQUabQu_ym0Zz7PgGX0-kHA/edit?usp=sharing"",""แผน!FO78"")"),0)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IFERROR(__xludf.DUMMYFUNCTION("IMPORTRANGE(""https://docs.google.com/spreadsheets/d/1QqKyyYR6Q21VydFLVH3TRQUabQu_ym0Zz7PgGX0-kHA/edit?usp=sharing"",""แผน!FN78"")"),0)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IFERROR(__xludf.DUMMYFUNCTION("IMPORTRANGE(""https://docs.google.com/spreadsheets/d/1QqKyyYR6Q21VydFLVH3TRQUabQu_ym0Zz7PgGX0-kHA/edit?usp=sharing"",""แผน!FX78"")"),21)</f>
        <v>21</v>
      </c>
      <c r="J465" s="584">
        <f>J485+J489+J492</f>
        <v>21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IFERROR(__xludf.DUMMYFUNCTION("IMPORTRANGE(""https://docs.google.com/spreadsheets/d/1QqKyyYR6Q21VydFLVH3TRQUabQu_ym0Zz7PgGX0-kHA/edit?usp=sharing"",""แผน!FW78"")"),200)</f>
        <v>200</v>
      </c>
      <c r="J466" s="564">
        <f>J483+J487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174403</v>
      </c>
      <c r="M467" s="195">
        <f t="shared" si="206"/>
        <v>0</v>
      </c>
      <c r="N467" s="195">
        <f t="shared" si="206"/>
        <v>42024</v>
      </c>
      <c r="O467" s="195">
        <f t="shared" ref="O467:O472" ca="1" si="207">IF(L467&gt;0,N467*100/L467,0)</f>
        <v>24.09591578126523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174403</v>
      </c>
      <c r="M469" s="93">
        <f t="shared" si="209"/>
        <v>0</v>
      </c>
      <c r="N469" s="93">
        <f t="shared" si="209"/>
        <v>42024</v>
      </c>
      <c r="O469" s="93">
        <f t="shared" ca="1" si="207"/>
        <v>24.09591578126523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174403</v>
      </c>
      <c r="M470" s="497">
        <f t="shared" si="210"/>
        <v>0</v>
      </c>
      <c r="N470" s="497">
        <f t="shared" si="210"/>
        <v>42024</v>
      </c>
      <c r="O470" s="497">
        <f t="shared" ca="1" si="207"/>
        <v>24.09591578126523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IFERROR(__xludf.DUMMYFUNCTION("IMPORTRANGE(""https://docs.google.com/spreadsheets/d/1QqKyyYR6Q21VydFLVH3TRQUabQu_ym0Zz7PgGX0-kHA/edit?usp=sharing"",""แผน!FS78"")"),174403)</f>
        <v>174403</v>
      </c>
      <c r="M472" s="93">
        <v>0</v>
      </c>
      <c r="N472" s="93">
        <f>N473+N474+N475+N476</f>
        <v>42024</v>
      </c>
      <c r="O472" s="93">
        <f t="shared" ca="1" si="207"/>
        <v>24.09591578126523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37823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4201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IFERROR(__xludf.DUMMYFUNCTION("IMPORTRANGE(""https://docs.google.com/spreadsheets/d/1QqKyyYR6Q21VydFLVH3TRQUabQu_ym0Zz7PgGX0-kHA/edit?usp=sharing"",""แผน!FY78"")"),180)</f>
        <v>180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IFERROR(__xludf.DUMMYFUNCTION("IMPORTRANGE(""https://docs.google.com/spreadsheets/d/1QqKyyYR6Q21VydFLVH3TRQUabQu_ym0Zz7PgGX0-kHA/edit?usp=sharing"",""แผน!FZ78"")"),18)</f>
        <v>18</v>
      </c>
      <c r="J485" s="214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IFERROR(__xludf.DUMMYFUNCTION("IMPORTRANGE(""https://docs.google.com/spreadsheets/d/1QqKyyYR6Q21VydFLVH3TRQUabQu_ym0Zz7PgGX0-kHA/edit?usp=sharing"",""แผน!GA78"")"),20)</f>
        <v>20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IFERROR(__xludf.DUMMYFUNCTION("IMPORTRANGE(""https://docs.google.com/spreadsheets/d/1QqKyyYR6Q21VydFLVH3TRQUabQu_ym0Zz7PgGX0-kHA/edit?usp=sharing"",""แผน!GB78"")"),2)</f>
        <v>2</v>
      </c>
      <c r="J489" s="214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IFERROR(__xludf.DUMMYFUNCTION("IMPORTRANGE(""https://docs.google.com/spreadsheets/d/1QqKyyYR6Q21VydFLVH3TRQUabQu_ym0Zz7PgGX0-kHA/edit?usp=sharing"",""แผน!GC78"")"),1)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IFERROR(__xludf.DUMMYFUNCTION("IMPORTRANGE(""https://docs.google.com/spreadsheets/d/1QqKyyYR6Q21VydFLVH3TRQUabQu_ym0Zz7PgGX0-kHA/edit?usp=sharing"",""แผน!FY78"")"),180)</f>
        <v>180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IFERROR(__xludf.DUMMYFUNCTION("IMPORTRANGE(""https://docs.google.com/spreadsheets/d/1QqKyyYR6Q21VydFLVH3TRQUabQu_ym0Zz7PgGX0-kHA/edit?usp=sharing"",""แผน!GA78"")"),20)</f>
        <v>20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IFERROR(__xludf.DUMMYFUNCTION("IMPORTRANGE(""https://docs.google.com/spreadsheets/d/1QqKyyYR6Q21VydFLVH3TRQUabQu_ym0Zz7PgGX0-kHA/edit?usp=sharing"",""แผน!GU78"")"),0)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IFERROR(__xludf.DUMMYFUNCTION("IMPORTRANGE(""https://docs.google.com/spreadsheets/d/1QqKyyYR6Q21VydFLVH3TRQUabQu_ym0Zz7PgGX0-kHA/edit?usp=sharing"",""แผน!GV78"")"),0)</f>
        <v>0</v>
      </c>
      <c r="J538" s="214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IFERROR(__xludf.DUMMYFUNCTION("IMPORTRANGE(""https://docs.google.com/spreadsheets/d/1QqKyyYR6Q21VydFLVH3TRQUabQu_ym0Zz7PgGX0-kHA/edit?usp=sharing"",""แผน!GW78"")"),0)</f>
        <v>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IFERROR(__xludf.DUMMYFUNCTION("IMPORTRANGE(""https://docs.google.com/spreadsheets/d/1QqKyyYR6Q21VydFLVH3TRQUabQu_ym0Zz7PgGX0-kHA/edit?usp=sharing"",""แผน!GX78"")"),0)</f>
        <v>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IFERROR(__xludf.DUMMYFUNCTION("IMPORTRANGE(""https://docs.google.com/spreadsheets/d/1QqKyyYR6Q21VydFLVH3TRQUabQu_ym0Zz7PgGX0-kHA/edit?usp=sharing"",""แผน!GY78"")"),0)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IFERROR(__xludf.DUMMYFUNCTION("IMPORTRANGE(""https://docs.google.com/spreadsheets/d/1QqKyyYR6Q21VydFLVH3TRQUabQu_ym0Zz7PgGX0-kHA/edit?usp=sharing"",""แผน!GZ78"")"),0)</f>
        <v>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29942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276695</v>
      </c>
      <c r="M544" s="155">
        <f t="shared" si="236"/>
        <v>0</v>
      </c>
      <c r="N544" s="155">
        <f t="shared" si="236"/>
        <v>38190.57</v>
      </c>
      <c r="O544" s="155">
        <f t="shared" ref="O544:O549" ca="1" si="237">IF(L544&gt;0,N544*100/L544,0)</f>
        <v>13.802406982417462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276695</v>
      </c>
      <c r="M546" s="93">
        <f t="shared" si="240"/>
        <v>0</v>
      </c>
      <c r="N546" s="93">
        <f t="shared" si="240"/>
        <v>38190.57</v>
      </c>
      <c r="O546" s="93">
        <f t="shared" ca="1" si="237"/>
        <v>13.802406982417462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276695</v>
      </c>
      <c r="M547" s="497">
        <f t="shared" si="241"/>
        <v>0</v>
      </c>
      <c r="N547" s="497">
        <f t="shared" si="241"/>
        <v>38190.57</v>
      </c>
      <c r="O547" s="497">
        <f t="shared" ca="1" si="237"/>
        <v>13.802406982417462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IFERROR(__xludf.DUMMYFUNCTION("IMPORTRANGE(""https://docs.google.com/spreadsheets/d/1QqKyyYR6Q21VydFLVH3TRQUabQu_ym0Zz7PgGX0-kHA/edit?usp=sharing"",""แผน!HB78"")"),276695)</f>
        <v>276695</v>
      </c>
      <c r="M549" s="93">
        <v>0</v>
      </c>
      <c r="N549" s="93">
        <f>N550+N551+N552+N553+N554</f>
        <v>38190.57</v>
      </c>
      <c r="O549" s="93">
        <f t="shared" ca="1" si="237"/>
        <v>13.802406982417462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/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12566.57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f>4533+3508+17583</f>
        <v>25624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29942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5325.9</v>
      </c>
      <c r="K560" s="411">
        <f t="shared" ca="1" si="246"/>
        <v>17.787388951973817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805</v>
      </c>
      <c r="K561" s="411">
        <f t="shared" ca="1" si="246"/>
        <v>21.455223880597014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5168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777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68.400000000000006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17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89.5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11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198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IFERROR(__xludf.DUMMYFUNCTION("IMPORTRANGE(""https://docs.google.com/spreadsheets/d/1QqKyyYR6Q21VydFLVH3TRQUabQu_ym0Zz7PgGX0-kHA/edit?usp=sharing"",""แผน!HJ78"")"),198)</f>
        <v>198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IFERROR(__xludf.DUMMYFUNCTION("IMPORTRANGE(""https://docs.google.com/spreadsheets/d/1QqKyyYR6Q21VydFLVH3TRQUabQu_ym0Zz7PgGX0-kHA/edit?usp=sharing"",""แผน!HL78"")"),0)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IFERROR(__xludf.DUMMYFUNCTION("IMPORTRANGE(""https://docs.google.com/spreadsheets/d/1QqKyyYR6Q21VydFLVH3TRQUabQu_ym0Zz7PgGX0-kHA/edit?usp=sharing"",""แผน!HK78"")"),0)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40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221445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221445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221445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IFERROR(__xludf.DUMMYFUNCTION("IMPORTRANGE(""https://docs.google.com/spreadsheets/d/1QqKyyYR6Q21VydFLVH3TRQUabQu_ym0Zz7PgGX0-kHA/edit?usp=sharing"",""แผน!HR78"")"),1)</f>
        <v>1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IFERROR(__xludf.DUMMYFUNCTION("IMPORTRANGE(""https://docs.google.com/spreadsheets/d/1QqKyyYR6Q21VydFLVH3TRQUabQu_ym0Zz7PgGX0-kHA/edit?usp=sharing"",""แผน!HR78"")"),1)</f>
        <v>1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IFERROR(__xludf.DUMMYFUNCTION("IMPORTRANGE(""https://docs.google.com/spreadsheets/d/1QqKyyYR6Q21VydFLVH3TRQUabQu_ym0Zz7PgGX0-kHA/edit?usp=sharing"",""แผน!HS78"")"),40)</f>
        <v>40</v>
      </c>
      <c r="J647" s="269">
        <f ca="1">IFERROR(__xludf.DUMMYFUNCTION("IMPORTRANGE(""https://docs.google.com/spreadsheets/d/1XWAQStnk-4SwqDmLtmXYiTMKHgktTP8We1SCoS47DrQ/edit?usp=sharing"",""จัดที่ดิน!AU78"")"),0)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IFERROR(__xludf.DUMMYFUNCTION("IMPORTRANGE(""https://docs.google.com/spreadsheets/d/1XWAQStnk-4SwqDmLtmXYiTMKHgktTP8We1SCoS47DrQ/edit?usp=sharing"",""จัดที่ดิน!AV78"")"),0)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IFERROR(__xludf.DUMMYFUNCTION("IMPORTRANGE(""https://docs.google.com/spreadsheets/d/1QqKyyYR6Q21VydFLVH3TRQUabQu_ym0Zz7PgGX0-kHA/edit?usp=sharing"",""แผน!HS78"")"),40)</f>
        <v>40</v>
      </c>
      <c r="J649" s="269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IFERROR(__xludf.DUMMYFUNCTION("IMPORTRANGE(""https://docs.google.com/spreadsheets/d/1QqKyyYR6Q21VydFLVH3TRQUabQu_ym0Zz7PgGX0-kHA/edit?usp=sharing"",""แผน!HS78"")"),40)</f>
        <v>40</v>
      </c>
      <c r="J651" s="269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IFERROR(__xludf.DUMMYFUNCTION("IMPORTRANGE(""https://docs.google.com/spreadsheets/d/1XWAQStnk-4SwqDmLtmXYiTMKHgktTP8We1SCoS47DrQ/edit?usp=sharing"",""จัดที่ดิน!AZ78"")"),0)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IFERROR(__xludf.DUMMYFUNCTION("IMPORTRANGE(""https://docs.google.com/spreadsheets/d/1QqKyyYR6Q21VydFLVH3TRQUabQu_ym0Zz7PgGX0-kHA/edit?usp=sharing"",""แผน!IA78"")"),0)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IFERROR(__xludf.DUMMYFUNCTION("IMPORTRANGE(""https://docs.google.com/spreadsheets/d/1QqKyyYR6Q21VydFLVH3TRQUabQu_ym0Zz7PgGX0-kHA/edit?usp=sharing"",""แผน!HZ78"")"),0)</f>
        <v>0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IFERROR(__xludf.DUMMYFUNCTION("IMPORTRANGE(""https://docs.google.com/spreadsheets/d/1QqKyyYR6Q21VydFLVH3TRQUabQu_ym0Zz7PgGX0-kHA/edit?usp=sharing"",""แผน!HZ78"")"),0)</f>
        <v>0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IFERROR(__xludf.DUMMYFUNCTION("IMPORTRANGE(""https://docs.google.com/spreadsheets/d/1QqKyyYR6Q21VydFLVH3TRQUabQu_ym0Zz7PgGX0-kHA/edit?usp=sharing"",""แผน!IB78"")"),0)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IFERROR(__xludf.DUMMYFUNCTION("IMPORTRANGE(""https://docs.google.com/spreadsheets/d/1QqKyyYR6Q21VydFLVH3TRQUabQu_ym0Zz7PgGX0-kHA/edit?usp=sharing"",""แผน!IC78"")"),0)</f>
        <v>0</v>
      </c>
      <c r="J699" s="269">
        <f ca="1">IFERROR(__xludf.DUMMYFUNCTION("IMPORTRANGE(""https://docs.google.com/spreadsheets/d/1XWAQStnk-4SwqDmLtmXYiTMKHgktTP8We1SCoS47DrQ/edit?usp=sharing"",""จัดที่ดิน!BB78"")"),0)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IFERROR(__xludf.DUMMYFUNCTION("IMPORTRANGE(""https://docs.google.com/spreadsheets/d/1QqKyyYR6Q21VydFLVH3TRQUabQu_ym0Zz7PgGX0-kHA/edit?usp=sharing"",""แผน!ID78"")"),0)</f>
        <v>0</v>
      </c>
      <c r="J700" s="269">
        <f ca="1">IFERROR(__xludf.DUMMYFUNCTION("IMPORTRANGE(""https://docs.google.com/spreadsheets/d/1XWAQStnk-4SwqDmLtmXYiTMKHgktTP8We1SCoS47DrQ/edit?usp=sharing"",""จัดที่ดิน!BD78"")"),0)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IFERROR(__xludf.DUMMYFUNCTION("IMPORTRANGE(""https://docs.google.com/spreadsheets/d/1QqKyyYR6Q21VydFLVH3TRQUabQu_ym0Zz7PgGX0-kHA/edit?usp=sharing"",""แผน!IE78"")"),0)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IFERROR(__xludf.DUMMYFUNCTION("IMPORTRANGE(""https://docs.google.com/spreadsheets/d/1QqKyyYR6Q21VydFLVH3TRQUabQu_ym0Zz7PgGX0-kHA/edit?usp=sharing"",""แผน!IF78"")"),0)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IFERROR(__xludf.DUMMYFUNCTION("IMPORTRANGE(""https://docs.google.com/spreadsheets/d/1QqKyyYR6Q21VydFLVH3TRQUabQu_ym0Zz7PgGX0-kHA/edit?usp=sharing"",""แผน!IG78"")"),0)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IFERROR(__xludf.DUMMYFUNCTION("IMPORTRANGE(""https://docs.google.com/spreadsheets/d/1QqKyyYR6Q21VydFLVH3TRQUabQu_ym0Zz7PgGX0-kHA/edit?usp=sharing"",""แผน!IH78"")"),0)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IFERROR(__xludf.DUMMYFUNCTION("IMPORTRANGE(""https://docs.google.com/spreadsheets/d/1XWAQStnk-4SwqDmLtmXYiTMKHgktTP8We1SCoS47DrQ/edit?usp=sharing"",""จัดที่ดิน!BF78"")"),0)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IFERROR(__xludf.DUMMYFUNCTION("IMPORTRANGE(""https://docs.google.com/spreadsheets/d/1XWAQStnk-4SwqDmLtmXYiTMKHgktTP8We1SCoS47DrQ/edit?usp=sharing"",""จัดที่ดิน!BG78"")"),0)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IFERROR(__xludf.DUMMYFUNCTION("IMPORTRANGE(""https://docs.google.com/spreadsheets/d/1QqKyyYR6Q21VydFLVH3TRQUabQu_ym0Zz7PgGX0-kHA/edit?usp=sharing"",""แผน!II78"")"),0)</f>
        <v>0</v>
      </c>
      <c r="J720" s="269">
        <f ca="1">IFERROR(__xludf.DUMMYFUNCTION("IMPORTRANGE(""https://docs.google.com/spreadsheets/d/1XWAQStnk-4SwqDmLtmXYiTMKHgktTP8We1SCoS47DrQ/edit?usp=sharing"",""จัดที่ดิน!BH78"")"),0)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IFERROR(__xludf.DUMMYFUNCTION("IMPORTRANGE(""https://docs.google.com/spreadsheets/d/1QqKyyYR6Q21VydFLVH3TRQUabQu_ym0Zz7PgGX0-kHA/edit?usp=sharing"",""แผน!IJ78"")"),0)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IFERROR(__xludf.DUMMYFUNCTION("IMPORTRANGE(""https://docs.google.com/spreadsheets/d/1QqKyyYR6Q21VydFLVH3TRQUabQu_ym0Zz7PgGX0-kHA/edit?usp=sharing"",""แผน!IK78"")"),0)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IFERROR(__xludf.DUMMYFUNCTION("IMPORTRANGE(""https://docs.google.com/spreadsheets/d/1QqKyyYR6Q21VydFLVH3TRQUabQu_ym0Zz7PgGX0-kHA/edit?usp=sharing"",""แผน!IL78"")"),0)</f>
        <v>0</v>
      </c>
      <c r="J723" s="269">
        <f ca="1">IFERROR(__xludf.DUMMYFUNCTION("IMPORTRANGE(""https://docs.google.com/spreadsheets/d/1XWAQStnk-4SwqDmLtmXYiTMKHgktTP8We1SCoS47DrQ/edit?usp=sharing"",""จัดที่ดิน!BM78"")"),0)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IFERROR(__xludf.DUMMYFUNCTION("IMPORTRANGE(""https://docs.google.com/spreadsheets/d/1XWAQStnk-4SwqDmLtmXYiTMKHgktTP8We1SCoS47DrQ/edit?usp=sharing"",""จัดที่ดิน!BN78"")"),0)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IFERROR(__xludf.DUMMYFUNCTION("IMPORTRANGE(""https://docs.google.com/spreadsheets/d/1QqKyyYR6Q21VydFLVH3TRQUabQu_ym0Zz7PgGX0-kHA/edit?usp=sharing"",""แผน!IM78"")"),0)</f>
        <v>0</v>
      </c>
      <c r="J725" s="269">
        <f ca="1">IFERROR(__xludf.DUMMYFUNCTION("IMPORTRANGE(""https://docs.google.com/spreadsheets/d/1XWAQStnk-4SwqDmLtmXYiTMKHgktTP8We1SCoS47DrQ/edit?usp=sharing"",""จัดที่ดิน!BO78"")"),0)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IFERROR(__xludf.DUMMYFUNCTION("IMPORTRANGE(""https://docs.google.com/spreadsheets/d/1QqKyyYR6Q21VydFLVH3TRQUabQu_ym0Zz7PgGX0-kHA/edit?usp=sharing"",""แผน!IN78"")"),0)</f>
        <v>0</v>
      </c>
      <c r="J726" s="269">
        <f ca="1">IFERROR(__xludf.DUMMYFUNCTION("IMPORTRANGE(""https://docs.google.com/spreadsheets/d/1XWAQStnk-4SwqDmLtmXYiTMKHgktTP8We1SCoS47DrQ/edit?usp=sharing"",""จัดที่ดิน!BR78"")"),0)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IFERROR(__xludf.DUMMYFUNCTION("IMPORTRANGE(""https://docs.google.com/spreadsheets/d/1XWAQStnk-4SwqDmLtmXYiTMKHgktTP8We1SCoS47DrQ/edit?usp=sharing"",""จัดที่ดิน!BS78"")"),0)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IFERROR(__xludf.DUMMYFUNCTION("IMPORTRANGE(""https://docs.google.com/spreadsheets/d/1QqKyyYR6Q21VydFLVH3TRQUabQu_ym0Zz7PgGX0-kHA/edit?usp=sharing"",""แผน!IO78"")"),0)</f>
        <v>0</v>
      </c>
      <c r="J728" s="269">
        <f ca="1">IFERROR(__xludf.DUMMYFUNCTION("IMPORTRANGE(""https://docs.google.com/spreadsheets/d/1XWAQStnk-4SwqDmLtmXYiTMKHgktTP8We1SCoS47DrQ/edit?usp=sharing"",""จัดที่ดิน!BT78"")"),0)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IFERROR(__xludf.DUMMYFUNCTION("IMPORTRANGE(""https://docs.google.com/spreadsheets/d/1QqKyyYR6Q21VydFLVH3TRQUabQu_ym0Zz7PgGX0-kHA/edit?usp=sharing"",""แผน!IP78"")"),0)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IFERROR(__xludf.DUMMYFUNCTION("IMPORTRANGE(""https://docs.google.com/spreadsheets/d/1MaWodYyGHDf7siQLGxnXhG4mBNTNIuy296niS2xXulU/edit?usp=sharing"",""RTK!I78"")"),0)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332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69">
        <f ca="1">IFERROR(__xludf.DUMMYFUNCTION("IMPORTRANGE(""https://docs.google.com/spreadsheets/d/19vJNZY_5yjcGF2XGBMNZRCAIB0Kwfpjp8YEOfu-bneM/edit?usp=sharing"",""งานกองทุน!F78"")"),75090.03)</f>
        <v>75090.03</v>
      </c>
      <c r="K821" s="497">
        <f t="shared" ref="K821:K828" ca="1" si="335">IF(I821&gt;0,J821*100/I821,0)</f>
        <v>2.6549979324331194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IFERROR(__xludf.DUMMYFUNCTION("IMPORTRANGE(""https://docs.google.com/spreadsheets/d/19vJNZY_5yjcGF2XGBMNZRCAIB0Kwfpjp8YEOfu-bneM/edit?usp=sharing"",""งานกองทุน!C78"")"),178)</f>
        <v>178</v>
      </c>
      <c r="J822" s="269">
        <f ca="1">IFERROR(__xludf.DUMMYFUNCTION("IMPORTRANGE(""https://docs.google.com/spreadsheets/d/19vJNZY_5yjcGF2XGBMNZRCAIB0Kwfpjp8YEOfu-bneM/edit?usp=sharing"",""งานกองทุน!E78"")"),5)</f>
        <v>5</v>
      </c>
      <c r="K822" s="497">
        <f t="shared" ca="1" si="335"/>
        <v>2.808988764044944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69">
        <f ca="1">IFERROR(__xludf.DUMMYFUNCTION("IMPORTRANGE(""https://docs.google.com/spreadsheets/d/19vJNZY_5yjcGF2XGBMNZRCAIB0Kwfpjp8YEOfu-bneM/edit?usp=sharing"",""งานกองทุน!K78"")"),132783)</f>
        <v>132783</v>
      </c>
      <c r="K823" s="497">
        <f t="shared" ca="1" si="335"/>
        <v>6.46762509009318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IFERROR(__xludf.DUMMYFUNCTION("IMPORTRANGE(""https://docs.google.com/spreadsheets/d/19vJNZY_5yjcGF2XGBMNZRCAIB0Kwfpjp8YEOfu-bneM/edit?usp=sharing"",""งานกองทุน!H78"")"),93)</f>
        <v>93</v>
      </c>
      <c r="J824" s="269">
        <f ca="1">IFERROR(__xludf.DUMMYFUNCTION("IMPORTRANGE(""https://docs.google.com/spreadsheets/d/19vJNZY_5yjcGF2XGBMNZRCAIB0Kwfpjp8YEOfu-bneM/edit?usp=sharing"",""งานกองทุน!J78"")"),43)</f>
        <v>43</v>
      </c>
      <c r="K824" s="497">
        <f t="shared" ca="1" si="335"/>
        <v>46.236559139784944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IFERROR(__xludf.DUMMYFUNCTION("IMPORTRANGE(""https://docs.google.com/spreadsheets/d/19vJNZY_5yjcGF2XGBMNZRCAIB0Kwfpjp8YEOfu-bneM/edit?usp=sharing"",""งานกองทุน!N78"")"),0)</f>
        <v>0</v>
      </c>
      <c r="J825" s="269">
        <f ca="1">IFERROR(__xludf.DUMMYFUNCTION("IMPORTRANGE(""https://docs.google.com/spreadsheets/d/19vJNZY_5yjcGF2XGBMNZRCAIB0Kwfpjp8YEOfu-bneM/edit?usp=sharing"",""งานกองทุน!P78"")"),0)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IFERROR(__xludf.DUMMYFUNCTION("IMPORTRANGE(""https://docs.google.com/spreadsheets/d/19vJNZY_5yjcGF2XGBMNZRCAIB0Kwfpjp8YEOfu-bneM/edit?usp=sharing"",""งานกองทุน!M78"")"),0)</f>
        <v>0</v>
      </c>
      <c r="J826" s="269">
        <f ca="1">IFERROR(__xludf.DUMMYFUNCTION("IMPORTRANGE(""https://docs.google.com/spreadsheets/d/19vJNZY_5yjcGF2XGBMNZRCAIB0Kwfpjp8YEOfu-bneM/edit?usp=sharing"",""งานกองทุน!O78"")"),0)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IFERROR(__xludf.DUMMYFUNCTION("IMPORTRANGE(""https://docs.google.com/spreadsheets/d/19vJNZY_5yjcGF2XGBMNZRCAIB0Kwfpjp8YEOfu-bneM/edit?usp=sharing"",""งานกองทุน!S78"")"),2280000)</f>
        <v>2280000</v>
      </c>
      <c r="J827" s="269">
        <f ca="1">IFERROR(__xludf.DUMMYFUNCTION("IMPORTRANGE(""https://docs.google.com/spreadsheets/d/19vJNZY_5yjcGF2XGBMNZRCAIB0Kwfpjp8YEOfu-bneM/edit?usp=sharing"",""งานกองทุน!U78"")"),450000)</f>
        <v>450000</v>
      </c>
      <c r="K827" s="497">
        <f t="shared" ca="1" si="335"/>
        <v>19.736842105263158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IFERROR(__xludf.DUMMYFUNCTION("IMPORTRANGE(""https://docs.google.com/spreadsheets/d/19vJNZY_5yjcGF2XGBMNZRCAIB0Kwfpjp8YEOfu-bneM/edit?usp=sharing"",""งานกองทุน!R78"")"),91)</f>
        <v>91</v>
      </c>
      <c r="J828" s="500">
        <f ca="1">IFERROR(__xludf.DUMMYFUNCTION("IMPORTRANGE(""https://docs.google.com/spreadsheets/d/19vJNZY_5yjcGF2XGBMNZRCAIB0Kwfpjp8YEOfu-bneM/edit?usp=sharing"",""งานกองทุน!T78"")"),20)</f>
        <v>20</v>
      </c>
      <c r="K828" s="501">
        <f t="shared" ca="1" si="335"/>
        <v>21.978021978021978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056B-1B5F-465F-871B-097FD594D6ED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193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4.42578125" bestFit="1" customWidth="1"/>
    <col min="10" max="10" width="11.285156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339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2549404</v>
      </c>
      <c r="M8" s="22">
        <f t="shared" ca="1" si="0"/>
        <v>1087050</v>
      </c>
      <c r="N8" s="22">
        <f t="shared" ca="1" si="0"/>
        <v>703199.95</v>
      </c>
      <c r="O8" s="22">
        <f t="shared" ref="O8:O16" ca="1" si="1">IF(L8&gt;0,N8*100/L8,0)</f>
        <v>27.582915457887413</v>
      </c>
      <c r="P8" s="22">
        <f t="shared" ref="P8:P16" ca="1" si="2">IF(M8&gt;0,N8*100/M8,0)</f>
        <v>64.688832160434202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2549404</v>
      </c>
      <c r="M10" s="30">
        <f t="shared" ca="1" si="3"/>
        <v>1087050</v>
      </c>
      <c r="N10" s="30">
        <f t="shared" ca="1" si="3"/>
        <v>703199.95</v>
      </c>
      <c r="O10" s="30">
        <f t="shared" ca="1" si="1"/>
        <v>27.582915457887413</v>
      </c>
      <c r="P10" s="30">
        <f t="shared" ca="1" si="2"/>
        <v>64.688832160434202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2458604</v>
      </c>
      <c r="M11" s="497">
        <f t="shared" ca="1" si="4"/>
        <v>996250</v>
      </c>
      <c r="N11" s="497">
        <f t="shared" ca="1" si="4"/>
        <v>612399.94999999995</v>
      </c>
      <c r="O11" s="497">
        <f t="shared" ca="1" si="1"/>
        <v>24.908441945103803</v>
      </c>
      <c r="P11" s="497">
        <f t="shared" ca="1" si="2"/>
        <v>61.470509410288578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2458604</v>
      </c>
      <c r="M13" s="93">
        <f t="shared" ca="1" si="5"/>
        <v>996250</v>
      </c>
      <c r="N13" s="93">
        <f t="shared" ca="1" si="5"/>
        <v>612399.94999999995</v>
      </c>
      <c r="O13" s="93">
        <f t="shared" ca="1" si="1"/>
        <v>24.908441945103803</v>
      </c>
      <c r="P13" s="93">
        <f t="shared" ca="1" si="2"/>
        <v>61.470509410288578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90800</v>
      </c>
      <c r="M14" s="497">
        <f t="shared" ca="1" si="6"/>
        <v>90800</v>
      </c>
      <c r="N14" s="497">
        <f t="shared" ca="1" si="6"/>
        <v>90800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1087050</v>
      </c>
      <c r="N18" s="22">
        <f t="shared" ca="1" si="8"/>
        <v>580260.94999999995</v>
      </c>
      <c r="O18" s="22">
        <f t="shared" ref="O18:O26" ca="1" si="9">IF(L18&gt;0,N18*100/L18,0)</f>
        <v>29.818596895121708</v>
      </c>
      <c r="P18" s="22">
        <f t="shared" ref="P18:P26" ca="1" si="10">IF(M18&gt;0,N18*100/M18,0)</f>
        <v>53.379416770157761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1087050</v>
      </c>
      <c r="N20" s="30">
        <f t="shared" ca="1" si="11"/>
        <v>580260.94999999995</v>
      </c>
      <c r="O20" s="30">
        <f t="shared" ca="1" si="9"/>
        <v>29.818596895121708</v>
      </c>
      <c r="P20" s="30">
        <f t="shared" ca="1" si="10"/>
        <v>53.379416770157761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1855170</v>
      </c>
      <c r="M21" s="497">
        <f t="shared" ca="1" si="12"/>
        <v>996250</v>
      </c>
      <c r="N21" s="497">
        <f t="shared" ca="1" si="12"/>
        <v>489460.95</v>
      </c>
      <c r="O21" s="497">
        <f t="shared" ca="1" si="9"/>
        <v>26.383617134817833</v>
      </c>
      <c r="P21" s="497">
        <f t="shared" ca="1" si="10"/>
        <v>49.130333751568379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1855170</v>
      </c>
      <c r="M23" s="93">
        <f t="shared" ca="1" si="13"/>
        <v>996250</v>
      </c>
      <c r="N23" s="93">
        <f t="shared" ca="1" si="13"/>
        <v>489460.95</v>
      </c>
      <c r="O23" s="93">
        <f t="shared" ca="1" si="9"/>
        <v>26.383617134817833</v>
      </c>
      <c r="P23" s="93">
        <f t="shared" ca="1" si="10"/>
        <v>49.130333751568379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90800</v>
      </c>
      <c r="M24" s="497">
        <f t="shared" ca="1" si="14"/>
        <v>90800</v>
      </c>
      <c r="N24" s="497">
        <f t="shared" ca="1" si="14"/>
        <v>90800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603434</v>
      </c>
      <c r="M28" s="22">
        <f t="shared" si="16"/>
        <v>0</v>
      </c>
      <c r="N28" s="22">
        <f t="shared" si="16"/>
        <v>122939</v>
      </c>
      <c r="O28" s="22">
        <f t="shared" ref="O28:O37" ca="1" si="17">IF(L28&gt;0,N28*100/L28,0)</f>
        <v>20.37323054385401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603434</v>
      </c>
      <c r="M30" s="30">
        <f t="shared" si="19"/>
        <v>0</v>
      </c>
      <c r="N30" s="30">
        <f t="shared" si="19"/>
        <v>122939</v>
      </c>
      <c r="O30" s="30">
        <f t="shared" ca="1" si="17"/>
        <v>20.37323054385401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603434</v>
      </c>
      <c r="M31" s="497">
        <f t="shared" si="20"/>
        <v>0</v>
      </c>
      <c r="N31" s="497">
        <f t="shared" si="20"/>
        <v>122939</v>
      </c>
      <c r="O31" s="497">
        <f t="shared" ca="1" si="17"/>
        <v>20.37323054385401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603434</v>
      </c>
      <c r="M33" s="93">
        <f t="shared" si="21"/>
        <v>0</v>
      </c>
      <c r="N33" s="93">
        <f t="shared" si="21"/>
        <v>122939</v>
      </c>
      <c r="O33" s="93">
        <f t="shared" ca="1" si="17"/>
        <v>20.37323054385401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1945970</v>
      </c>
      <c r="M37" s="59">
        <f t="shared" ca="1" si="24"/>
        <v>1087050</v>
      </c>
      <c r="N37" s="59">
        <f t="shared" ca="1" si="24"/>
        <v>580260.94999999995</v>
      </c>
      <c r="O37" s="59">
        <f t="shared" ca="1" si="17"/>
        <v>29.818596895121708</v>
      </c>
      <c r="P37" s="59">
        <f t="shared" ca="1" si="18"/>
        <v>53.379416770157761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207450</v>
      </c>
      <c r="N41" s="85">
        <f t="shared" ca="1" si="25"/>
        <v>108712</v>
      </c>
      <c r="O41" s="85">
        <f t="shared" ref="O41:O49" ca="1" si="26">IF(L41&gt;0,N41*100/L41,0)</f>
        <v>39.799377631338089</v>
      </c>
      <c r="P41" s="85">
        <f t="shared" ref="P41:P49" ca="1" si="27">IF(M41&gt;0,N41*100/M41,0)</f>
        <v>52.403952759701134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207450</v>
      </c>
      <c r="N43" s="92">
        <f t="shared" ca="1" si="28"/>
        <v>108712</v>
      </c>
      <c r="O43" s="92">
        <f t="shared" ca="1" si="26"/>
        <v>39.799377631338089</v>
      </c>
      <c r="P43" s="92">
        <f t="shared" ca="1" si="27"/>
        <v>52.403952759701134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273150</v>
      </c>
      <c r="M44" s="497">
        <f t="shared" ca="1" si="29"/>
        <v>207450</v>
      </c>
      <c r="N44" s="497">
        <f t="shared" ca="1" si="29"/>
        <v>108712</v>
      </c>
      <c r="O44" s="497">
        <f t="shared" ca="1" si="26"/>
        <v>39.799377631338089</v>
      </c>
      <c r="P44" s="497">
        <f t="shared" ca="1" si="27"/>
        <v>52.403952759701134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IFERROR(__xludf.DUMMYFUNCTION("IMPORTRANGE(""https://docs.google.com/spreadsheets/d/1MeEWN-I1oV_STSDYn1IFDPWt_1FKiwhDph83XaGc0o0/edit?usp=sharing"",""งบพรบ!R79"")"),207450)</f>
        <v>207450</v>
      </c>
      <c r="N46" s="93">
        <f ca="1">IFERROR(__xludf.DUMMYFUNCTION("IMPORTRANGE(""https://docs.google.com/spreadsheets/d/1MeEWN-I1oV_STSDYn1IFDPWt_1FKiwhDph83XaGc0o0/edit?usp=sharing"",""งบพรบ!T79"")"),108712)</f>
        <v>108712</v>
      </c>
      <c r="O46" s="93">
        <f t="shared" ca="1" si="26"/>
        <v>39.799377631338089</v>
      </c>
      <c r="P46" s="93">
        <f t="shared" ca="1" si="27"/>
        <v>52.403952759701134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279500</v>
      </c>
      <c r="N53" s="116">
        <f t="shared" ca="1" si="31"/>
        <v>174383.16</v>
      </c>
      <c r="O53" s="116">
        <f t="shared" ref="O53:O61" ca="1" si="32">IF(L53&gt;0,N53*100/L53,0)</f>
        <v>31.195556350626116</v>
      </c>
      <c r="P53" s="116">
        <f t="shared" ref="P53:P61" ca="1" si="33">IF(M53&gt;0,N53*100/M53,0)</f>
        <v>62.391112701252233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279500</v>
      </c>
      <c r="N55" s="123">
        <f t="shared" ca="1" si="34"/>
        <v>174383.16</v>
      </c>
      <c r="O55" s="123">
        <f t="shared" ca="1" si="32"/>
        <v>31.195556350626116</v>
      </c>
      <c r="P55" s="123">
        <f t="shared" ca="1" si="33"/>
        <v>62.391112701252233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559000</v>
      </c>
      <c r="M56" s="497">
        <f t="shared" ca="1" si="35"/>
        <v>279500</v>
      </c>
      <c r="N56" s="497">
        <f t="shared" ca="1" si="35"/>
        <v>174383.16</v>
      </c>
      <c r="O56" s="497">
        <f t="shared" ca="1" si="32"/>
        <v>31.195556350626116</v>
      </c>
      <c r="P56" s="497">
        <f t="shared" ca="1" si="33"/>
        <v>62.391112701252233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IFERROR(__xludf.DUMMYFUNCTION("IMPORTRANGE(""https://docs.google.com/spreadsheets/d/1MeEWN-I1oV_STSDYn1IFDPWt_1FKiwhDph83XaGc0o0/edit?usp=sharing"",""งบพรบ!AB79"")"),279500)</f>
        <v>279500</v>
      </c>
      <c r="N58" s="93">
        <f ca="1">IFERROR(__xludf.DUMMYFUNCTION("IMPORTRANGE(""https://docs.google.com/spreadsheets/d/1MeEWN-I1oV_STSDYn1IFDPWt_1FKiwhDph83XaGc0o0/edit?usp=sharing"",""งบพรบ!AD79"")"),174383.16)</f>
        <v>174383.16</v>
      </c>
      <c r="O58" s="93">
        <f t="shared" ca="1" si="32"/>
        <v>31.195556350626116</v>
      </c>
      <c r="P58" s="93">
        <f t="shared" ca="1" si="33"/>
        <v>62.391112701252233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237000</v>
      </c>
      <c r="M88" s="155">
        <f t="shared" ca="1" si="49"/>
        <v>119600</v>
      </c>
      <c r="N88" s="155">
        <f t="shared" ca="1" si="49"/>
        <v>54050</v>
      </c>
      <c r="O88" s="155">
        <f t="shared" ref="O88:O96" ca="1" si="50">IF(L88&gt;0,N88*100/L88,0)</f>
        <v>22.805907172995781</v>
      </c>
      <c r="P88" s="155">
        <f t="shared" ref="P88:P96" ca="1" si="51">IF(M88&gt;0,N88*100/M88,0)</f>
        <v>45.192307692307693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237000</v>
      </c>
      <c r="M90" s="93">
        <f t="shared" ca="1" si="52"/>
        <v>119600</v>
      </c>
      <c r="N90" s="93">
        <f t="shared" ca="1" si="52"/>
        <v>54050</v>
      </c>
      <c r="O90" s="93">
        <f t="shared" ca="1" si="50"/>
        <v>22.805907172995781</v>
      </c>
      <c r="P90" s="93">
        <f t="shared" ca="1" si="51"/>
        <v>45.192307692307693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237000</v>
      </c>
      <c r="M91" s="497">
        <f t="shared" ca="1" si="53"/>
        <v>119600</v>
      </c>
      <c r="N91" s="497">
        <f t="shared" ca="1" si="53"/>
        <v>54050</v>
      </c>
      <c r="O91" s="497">
        <f t="shared" ca="1" si="50"/>
        <v>22.805907172995781</v>
      </c>
      <c r="P91" s="497">
        <f t="shared" ca="1" si="51"/>
        <v>45.192307692307693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IFERROR(__xludf.DUMMYFUNCTION("IMPORTRANGE(""https://docs.google.com/spreadsheets/d/1MeEWN-I1oV_STSDYn1IFDPWt_1FKiwhDph83XaGc0o0/edit?usp=sharing"",""งบพรบ!AV79"")"),119600)</f>
        <v>119600</v>
      </c>
      <c r="N93" s="93">
        <f ca="1">IFERROR(__xludf.DUMMYFUNCTION("IMPORTRANGE(""https://docs.google.com/spreadsheets/d/1MeEWN-I1oV_STSDYn1IFDPWt_1FKiwhDph83XaGc0o0/edit?usp=sharing"",""งบพรบ!AX79"")"),54050)</f>
        <v>54050</v>
      </c>
      <c r="O93" s="93">
        <f t="shared" ca="1" si="50"/>
        <v>22.805907172995781</v>
      </c>
      <c r="P93" s="93">
        <f t="shared" ca="1" si="51"/>
        <v>45.192307692307693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IFERROR(__xludf.DUMMYFUNCTION("IMPORTRANGE(""https://docs.google.com/spreadsheets/d/1QqKyyYR6Q21VydFLVH3TRQUabQu_ym0Zz7PgGX0-kHA/edit?usp=sharing"",""แผน!K79"")"),75)</f>
        <v>75</v>
      </c>
      <c r="J98" s="269">
        <f>J102</f>
        <v>75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IFERROR(__xludf.DUMMYFUNCTION("IMPORTRANGE(""https://docs.google.com/spreadsheets/d/1QqKyyYR6Q21VydFLVH3TRQUabQu_ym0Zz7PgGX0-kHA/edit?usp=sharing"",""แผน!L79"")"),25)</f>
        <v>25</v>
      </c>
      <c r="J99" s="269">
        <f>J104</f>
        <v>25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IFERROR(__xludf.DUMMYFUNCTION("IMPORTRANGE(""https://docs.google.com/spreadsheets/d/1QqKyyYR6Q21VydFLVH3TRQUabQu_ym0Zz7PgGX0-kHA/edit?usp=sharing"",""แผน!M79"")"),1)</f>
        <v>1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IFERROR(__xludf.DUMMYFUNCTION("IMPORTRANGE(""https://docs.google.com/spreadsheets/d/1QqKyyYR6Q21VydFLVH3TRQUabQu_ym0Zz7PgGX0-kHA/edit?usp=sharing"",""แผน!N79"")"),75)</f>
        <v>75</v>
      </c>
      <c r="J102" s="214">
        <v>75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IFERROR(__xludf.DUMMYFUNCTION("IMPORTRANGE(""https://docs.google.com/spreadsheets/d/1QqKyyYR6Q21VydFLVH3TRQUabQu_ym0Zz7PgGX0-kHA/edit?usp=sharing"",""แผน!O79"")"),25)</f>
        <v>25</v>
      </c>
      <c r="J103" s="214">
        <v>25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IFERROR(__xludf.DUMMYFUNCTION("IMPORTRANGE(""https://docs.google.com/spreadsheets/d/1QqKyyYR6Q21VydFLVH3TRQUabQu_ym0Zz7PgGX0-kHA/edit?usp=sharing"",""แผน!O79"")"),25)</f>
        <v>25</v>
      </c>
      <c r="J104" s="214">
        <v>25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IFERROR(__xludf.DUMMYFUNCTION("IMPORTRANGE(""https://docs.google.com/spreadsheets/d/1QqKyyYR6Q21VydFLVH3TRQUabQu_ym0Zz7PgGX0-kHA/edit?usp=sharing"",""แผน!P79"")"),1)</f>
        <v>1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IFERROR(__xludf.DUMMYFUNCTION("IMPORTRANGE(""https://docs.google.com/spreadsheets/d/1QqKyyYR6Q21VydFLVH3TRQUabQu_ym0Zz7PgGX0-kHA/edit?usp=sharing"",""แผน!P79"")"),1)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IFERROR(__xludf.DUMMYFUNCTION("IMPORTRANGE(""https://docs.google.com/spreadsheets/d/1QqKyyYR6Q21VydFLVH3TRQUabQu_ym0Zz7PgGX0-kHA/edit?usp=sharing"",""แผน!Q79"")"),0)</f>
        <v>0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IFERROR(__xludf.DUMMYFUNCTION("IMPORTRANGE(""https://docs.google.com/spreadsheets/d/1QqKyyYR6Q21VydFLVH3TRQUabQu_ym0Zz7PgGX0-kHA/edit?usp=sharing"",""แผน!Q79"")"),0)</f>
        <v>0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IFERROR(__xludf.DUMMYFUNCTION("IMPORTRANGE(""https://docs.google.com/spreadsheets/d/1QqKyyYR6Q21VydFLVH3TRQUabQu_ym0Zz7PgGX0-kHA/edit?usp=sharing"",""แผน!U79"")"),0)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IFERROR(__xludf.DUMMYFUNCTION("IMPORTRANGE(""https://docs.google.com/spreadsheets/d/1QqKyyYR6Q21VydFLVH3TRQUabQu_ym0Zz7PgGX0-kHA/edit?usp=sharing"",""แผน!V79"")"),0)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IFERROR(__xludf.DUMMYFUNCTION("IMPORTRANGE(""https://docs.google.com/spreadsheets/d/1QqKyyYR6Q21VydFLVH3TRQUabQu_ym0Zz7PgGX0-kHA/edit?usp=sharing"",""แผน!W79"")"),0)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IFERROR(__xludf.DUMMYFUNCTION("IMPORTRANGE(""https://docs.google.com/spreadsheets/d/1QqKyyYR6Q21VydFLVH3TRQUabQu_ym0Zz7PgGX0-kHA/edit?usp=sharing"",""แผน!X79"")"),0)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13330</v>
      </c>
      <c r="O165" s="155">
        <f t="shared" ref="O165:O173" ca="1" si="85">IF(L165&gt;0,N165*100/L165,0)</f>
        <v>63.325415676959622</v>
      </c>
      <c r="P165" s="155">
        <f t="shared" ref="P165:P173" ca="1" si="86">IF(M165&gt;0,N165*100/M165,0)</f>
        <v>63.325415676959622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13330</v>
      </c>
      <c r="O167" s="93">
        <f t="shared" ca="1" si="85"/>
        <v>63.325415676959622</v>
      </c>
      <c r="P167" s="93">
        <f t="shared" ca="1" si="86"/>
        <v>63.325415676959622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13330</v>
      </c>
      <c r="O168" s="497">
        <f t="shared" ca="1" si="85"/>
        <v>63.325415676959622</v>
      </c>
      <c r="P168" s="497">
        <f t="shared" ca="1" si="86"/>
        <v>63.325415676959622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IFERROR(__xludf.DUMMYFUNCTION("IMPORTRANGE(""https://docs.google.com/spreadsheets/d/1MeEWN-I1oV_STSDYn1IFDPWt_1FKiwhDph83XaGc0o0/edit?usp=sharing"",""งบพรบ!CJ79"")"),21050)</f>
        <v>21050</v>
      </c>
      <c r="N170" s="93">
        <f ca="1">IFERROR(__xludf.DUMMYFUNCTION("IMPORTRANGE(""https://docs.google.com/spreadsheets/d/1MeEWN-I1oV_STSDYn1IFDPWt_1FKiwhDph83XaGc0o0/edit?usp=sharing"",""งบพรบ!CL79"")"),13330)</f>
        <v>13330</v>
      </c>
      <c r="O170" s="93">
        <f t="shared" ca="1" si="85"/>
        <v>63.325415676959622</v>
      </c>
      <c r="P170" s="93">
        <f t="shared" ca="1" si="86"/>
        <v>63.325415676959622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IFERROR(__xludf.DUMMYFUNCTION("IMPORTRANGE(""https://docs.google.com/spreadsheets/d/1QqKyyYR6Q21VydFLVH3TRQUabQu_ym0Zz7PgGX0-kHA/edit?usp=sharing"",""แผน!Y79"")"),10)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281000</v>
      </c>
      <c r="M181" s="155">
        <f t="shared" ca="1" si="92"/>
        <v>137250</v>
      </c>
      <c r="N181" s="155">
        <f t="shared" ca="1" si="92"/>
        <v>44158.79</v>
      </c>
      <c r="O181" s="155">
        <f t="shared" ref="O181:O189" ca="1" si="93">IF(L181&gt;0,N181*100/L181,0)</f>
        <v>15.714871886120996</v>
      </c>
      <c r="P181" s="155">
        <f t="shared" ref="P181:P189" ca="1" si="94">IF(M181&gt;0,N181*100/M181,0)</f>
        <v>32.173981785063752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281000</v>
      </c>
      <c r="M183" s="93">
        <f t="shared" ca="1" si="95"/>
        <v>137250</v>
      </c>
      <c r="N183" s="93">
        <f t="shared" ca="1" si="95"/>
        <v>44158.79</v>
      </c>
      <c r="O183" s="93">
        <f t="shared" ca="1" si="93"/>
        <v>15.714871886120996</v>
      </c>
      <c r="P183" s="93">
        <f t="shared" ca="1" si="94"/>
        <v>32.173981785063752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281000</v>
      </c>
      <c r="M184" s="497">
        <f t="shared" ca="1" si="96"/>
        <v>137250</v>
      </c>
      <c r="N184" s="497">
        <f t="shared" ca="1" si="96"/>
        <v>44158.79</v>
      </c>
      <c r="O184" s="497">
        <f t="shared" ca="1" si="93"/>
        <v>15.714871886120996</v>
      </c>
      <c r="P184" s="497">
        <f t="shared" ca="1" si="94"/>
        <v>32.173981785063752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IFERROR(__xludf.DUMMYFUNCTION("IMPORTRANGE(""https://docs.google.com/spreadsheets/d/1MeEWN-I1oV_STSDYn1IFDPWt_1FKiwhDph83XaGc0o0/edit?usp=sharing"",""งบพรบ!CT79"")"),137250)</f>
        <v>137250</v>
      </c>
      <c r="N186" s="93">
        <f ca="1">IFERROR(__xludf.DUMMYFUNCTION("IMPORTRANGE(""https://docs.google.com/spreadsheets/d/1MeEWN-I1oV_STSDYn1IFDPWt_1FKiwhDph83XaGc0o0/edit?usp=sharing"",""งบพรบ!CV79"")"),44158.79)</f>
        <v>44158.79</v>
      </c>
      <c r="O186" s="93">
        <f t="shared" ca="1" si="93"/>
        <v>15.714871886120996</v>
      </c>
      <c r="P186" s="93">
        <f t="shared" ca="1" si="94"/>
        <v>32.173981785063752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IFERROR(__xludf.DUMMYFUNCTION("IMPORTRANGE(""https://docs.google.com/spreadsheets/d/1QqKyyYR6Q21VydFLVH3TRQUabQu_ym0Zz7PgGX0-kHA/edit?usp=sharing"",""แผน!AC79"")"),4)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39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39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0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 hidden="1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IFERROR(__xludf.DUMMYFUNCTION("IMPORTRANGE(""https://docs.google.com/spreadsheets/d/1QqKyyYR6Q21VydFLVH3TRQUabQu_ym0Zz7PgGX0-kHA/edit?usp=sharing"",""แผน!AE79"")"),0)</f>
        <v>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IFERROR(__xludf.DUMMYFUNCTION("IMPORTRANGE(""https://docs.google.com/spreadsheets/d/1QqKyyYR6Q21VydFLVH3TRQUabQu_ym0Zz7PgGX0-kHA/edit?usp=sharing"",""แผน!AF79"")"),0)</f>
        <v>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 hidden="1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IFERROR(__xludf.DUMMYFUNCTION("IMPORTRANGE(""https://docs.google.com/spreadsheets/d/1QqKyyYR6Q21VydFLVH3TRQUabQu_ym0Zz7PgGX0-kHA/edit?usp=sharing"",""แผน!AG79"")"),0)</f>
        <v>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 hidden="1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IFERROR(__xludf.DUMMYFUNCTION("IMPORTRANGE(""https://docs.google.com/spreadsheets/d/1QqKyyYR6Q21VydFLVH3TRQUabQu_ym0Zz7PgGX0-kHA/edit?usp=sharing"",""แผน!AH79"")"),0)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 hidden="1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IFERROR(__xludf.DUMMYFUNCTION("IMPORTRANGE(""https://docs.google.com/spreadsheets/d/1QqKyyYR6Q21VydFLVH3TRQUabQu_ym0Zz7PgGX0-kHA/edit?usp=sharing"",""แผน!AI79"")"),0)</f>
        <v>0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/>
      <c r="J206" s="214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/>
      <c r="J207" s="214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ca="1">IF(I208&gt;0,J208*100/I208,0)</f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IFERROR(__xludf.DUMMYFUNCTION("IMPORTRANGE(""https://docs.google.com/spreadsheets/d/1QqKyyYR6Q21VydFLVH3TRQUabQu_ym0Zz7PgGX0-kHA/edit?usp=sharing"",""แผน!AK79"")"),0)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IFERROR(__xludf.DUMMYFUNCTION("IMPORTRANGE(""https://docs.google.com/spreadsheets/d/1QqKyyYR6Q21VydFLVH3TRQUabQu_ym0Zz7PgGX0-kHA/edit?usp=sharing"",""แผน!AL79"")"),0)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IFERROR(__xludf.DUMMYFUNCTION("IMPORTRANGE(""https://docs.google.com/spreadsheets/d/1QqKyyYR6Q21VydFLVH3TRQUabQu_ym0Zz7PgGX0-kHA/edit?usp=sharing"",""แผน!AM79"")"),0)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IFERROR(__xludf.DUMMYFUNCTION("IMPORTRANGE(""https://docs.google.com/spreadsheets/d/1QqKyyYR6Q21VydFLVH3TRQUabQu_ym0Zz7PgGX0-kHA/edit?usp=sharing"",""แผน!AN79"")"),0)</f>
        <v>0</v>
      </c>
      <c r="J214" s="214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IFERROR(__xludf.DUMMYFUNCTION("IMPORTRANGE(""https://docs.google.com/spreadsheets/d/1QqKyyYR6Q21VydFLVH3TRQUabQu_ym0Zz7PgGX0-kHA/edit?usp=sharing"",""แผน!AN79"")"),0)</f>
        <v>0</v>
      </c>
      <c r="J215" s="214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IFERROR(__xludf.DUMMYFUNCTION("IMPORTRANGE(""https://docs.google.com/spreadsheets/d/1QqKyyYR6Q21VydFLVH3TRQUabQu_ym0Zz7PgGX0-kHA/edit?usp=sharing"",""แผน!AP79"")"),3000)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IFERROR(__xludf.DUMMYFUNCTION("IMPORTRANGE(""https://docs.google.com/spreadsheets/d/1QqKyyYR6Q21VydFLVH3TRQUabQu_ym0Zz7PgGX0-kHA/edit?usp=sharing"",""แผน!AQ79"")"),3500)</f>
        <v>3500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IFERROR(__xludf.DUMMYFUNCTION("IMPORTRANGE(""https://docs.google.com/spreadsheets/d/1QqKyyYR6Q21VydFLVH3TRQUabQu_ym0Zz7PgGX0-kHA/edit?usp=sharing"",""แผน!AR79"")"),0)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IFERROR(__xludf.DUMMYFUNCTION("IMPORTRANGE(""https://docs.google.com/spreadsheets/d/1QqKyyYR6Q21VydFLVH3TRQUabQu_ym0Zz7PgGX0-kHA/edit?usp=sharing"",""แผน!AT79"")"),10000)</f>
        <v>10000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IFERROR(__xludf.DUMMYFUNCTION("IMPORTRANGE(""https://docs.google.com/spreadsheets/d/1QqKyyYR6Q21VydFLVH3TRQUabQu_ym0Zz7PgGX0-kHA/edit?usp=sharing"",""แผน!AT79"")"),10000)</f>
        <v>10000</v>
      </c>
      <c r="J224" s="214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IFERROR(__xludf.DUMMYFUNCTION("IMPORTRANGE(""https://docs.google.com/spreadsheets/d/1QqKyyYR6Q21VydFLVH3TRQUabQu_ym0Zz7PgGX0-kHA/edit?usp=sharing"",""แผน!AS79"")"),0)</f>
        <v>0</v>
      </c>
      <c r="J225" s="214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7">I244+I255</f>
        <v>0</v>
      </c>
      <c r="J233" s="611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8">I246+I257</f>
        <v>0</v>
      </c>
      <c r="J235" s="611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8"/>
        <v>0</v>
      </c>
      <c r="J236" s="611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2"/>
      <c r="B237" s="293"/>
      <c r="C237" s="294" t="s">
        <v>330</v>
      </c>
      <c r="D237" s="295"/>
      <c r="E237" s="295"/>
      <c r="F237" s="295"/>
      <c r="G237" s="296"/>
      <c r="H237" s="297" t="s">
        <v>35</v>
      </c>
      <c r="I237" s="298">
        <f t="shared" ref="I237:J237" ca="1" si="110">I244</f>
        <v>0</v>
      </c>
      <c r="J237" s="298">
        <f t="shared" si="110"/>
        <v>0</v>
      </c>
      <c r="K237" s="299">
        <f t="shared" ca="1" si="109"/>
        <v>0</v>
      </c>
      <c r="L237" s="300"/>
      <c r="M237" s="300"/>
      <c r="N237" s="300"/>
      <c r="O237" s="300"/>
      <c r="P237" s="300"/>
      <c r="Q237" s="301"/>
      <c r="R237" s="301"/>
      <c r="S237" s="301"/>
      <c r="T237" s="301"/>
      <c r="U237" s="301"/>
      <c r="V237" s="301"/>
      <c r="W237" s="301"/>
      <c r="X237" s="301"/>
      <c r="Y237" s="301"/>
      <c r="Z237" s="301"/>
    </row>
    <row r="238" spans="1:26" ht="19.5" hidden="1">
      <c r="A238" s="302"/>
      <c r="B238" s="303"/>
      <c r="C238" s="304" t="s">
        <v>16</v>
      </c>
      <c r="D238" s="305" t="s">
        <v>17</v>
      </c>
      <c r="E238" s="303"/>
      <c r="F238" s="303"/>
      <c r="G238" s="306"/>
      <c r="H238" s="307" t="s">
        <v>12</v>
      </c>
      <c r="I238" s="308"/>
      <c r="J238" s="308"/>
      <c r="K238" s="309"/>
      <c r="L238" s="310">
        <f ca="1">L239+L240+L241+L242</f>
        <v>0</v>
      </c>
      <c r="M238" s="310"/>
      <c r="N238" s="310">
        <f>N239+N240+N241+N242</f>
        <v>0</v>
      </c>
      <c r="O238" s="310">
        <f ca="1">IF(L238&gt;0,N238*100/L238,0)</f>
        <v>0</v>
      </c>
      <c r="P238" s="310">
        <f>IF(M238&gt;0,N238*100/M238,0)</f>
        <v>0</v>
      </c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IFERROR(__xludf.DUMMYFUNCTION("IMPORTRANGE(""https://docs.google.com/spreadsheets/d/1QqKyyYR6Q21VydFLVH3TRQUabQu_ym0Zz7PgGX0-kHA/edit?usp=sharing"",""แผน!AV79"")"),0)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IFERROR(__xludf.DUMMYFUNCTION("IMPORTRANGE(""https://docs.google.com/spreadsheets/d/1QqKyyYR6Q21VydFLVH3TRQUabQu_ym0Zz7PgGX0-kHA/edit?usp=sharing"",""แผน!AW79"")"),0)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IFERROR(__xludf.DUMMYFUNCTION("IMPORTRANGE(""https://docs.google.com/spreadsheets/d/1QqKyyYR6Q21VydFLVH3TRQUabQu_ym0Zz7PgGX0-kHA/edit?usp=sharing"",""แผน!AX79"")"),0)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IFERROR(__xludf.DUMMYFUNCTION("IMPORTRANGE(""https://docs.google.com/spreadsheets/d/1QqKyyYR6Q21VydFLVH3TRQUabQu_ym0Zz7PgGX0-kHA/edit?usp=sharing"",""แผน!AY79"")"),0)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327"/>
      <c r="B243" s="328"/>
      <c r="C243" s="323" t="s">
        <v>16</v>
      </c>
      <c r="D243" s="870" t="s">
        <v>38</v>
      </c>
      <c r="E243" s="330"/>
      <c r="F243" s="330"/>
      <c r="G243" s="331"/>
      <c r="H243" s="332"/>
      <c r="I243" s="319"/>
      <c r="J243" s="325"/>
      <c r="K243" s="321"/>
      <c r="L243" s="321"/>
      <c r="M243" s="321"/>
      <c r="N243" s="321"/>
      <c r="O243" s="320"/>
      <c r="P243" s="320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</row>
    <row r="244" spans="1:26" ht="18.75" hidden="1">
      <c r="A244" s="327"/>
      <c r="B244" s="328"/>
      <c r="C244" s="328"/>
      <c r="D244" s="333" t="s">
        <v>117</v>
      </c>
      <c r="E244" s="334"/>
      <c r="F244" s="334"/>
      <c r="G244" s="335"/>
      <c r="H244" s="336" t="s">
        <v>35</v>
      </c>
      <c r="I244" s="325">
        <f ca="1">IFERROR(__xludf.DUMMYFUNCTION("IMPORTRANGE(""https://docs.google.com/spreadsheets/d/1QqKyyYR6Q21VydFLVH3TRQUabQu_ym0Zz7PgGX0-kHA/edit?usp=sharing"",""แผน!BE79"")"),0)</f>
        <v>0</v>
      </c>
      <c r="J244" s="871">
        <v>0</v>
      </c>
      <c r="K244" s="321">
        <f ca="1">IF(I244&gt;0,J244*100/I244,0)</f>
        <v>0</v>
      </c>
      <c r="L244" s="321"/>
      <c r="M244" s="321"/>
      <c r="N244" s="321"/>
      <c r="O244" s="321"/>
      <c r="P244" s="321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</row>
    <row r="245" spans="1:26" ht="18.75" hidden="1">
      <c r="A245" s="327"/>
      <c r="B245" s="328"/>
      <c r="C245" s="328"/>
      <c r="D245" s="337" t="s">
        <v>43</v>
      </c>
      <c r="E245" s="334"/>
      <c r="F245" s="334"/>
      <c r="G245" s="335"/>
      <c r="H245" s="336"/>
      <c r="I245" s="325"/>
      <c r="J245" s="325"/>
      <c r="K245" s="321"/>
      <c r="L245" s="321"/>
      <c r="M245" s="321"/>
      <c r="N245" s="321"/>
      <c r="O245" s="320"/>
      <c r="P245" s="320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</row>
    <row r="246" spans="1:26" ht="18.75" hidden="1">
      <c r="A246" s="327"/>
      <c r="B246" s="328"/>
      <c r="C246" s="328"/>
      <c r="D246" s="328"/>
      <c r="E246" s="338" t="s">
        <v>118</v>
      </c>
      <c r="F246" s="334"/>
      <c r="G246" s="335"/>
      <c r="H246" s="336" t="s">
        <v>35</v>
      </c>
      <c r="I246" s="325"/>
      <c r="J246" s="871">
        <v>0</v>
      </c>
      <c r="K246" s="321">
        <f t="shared" ref="K246:K248" si="111">IF(I246&gt;0,J246*100/I246,0)</f>
        <v>0</v>
      </c>
      <c r="L246" s="321"/>
      <c r="M246" s="321"/>
      <c r="N246" s="321"/>
      <c r="O246" s="321"/>
      <c r="P246" s="321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</row>
    <row r="247" spans="1:26" ht="18.75" hidden="1">
      <c r="A247" s="327"/>
      <c r="B247" s="328"/>
      <c r="C247" s="328"/>
      <c r="D247" s="328"/>
      <c r="E247" s="338" t="s">
        <v>119</v>
      </c>
      <c r="F247" s="334"/>
      <c r="G247" s="335"/>
      <c r="H247" s="336" t="s">
        <v>69</v>
      </c>
      <c r="I247" s="325"/>
      <c r="J247" s="871">
        <v>0</v>
      </c>
      <c r="K247" s="321">
        <f t="shared" si="111"/>
        <v>0</v>
      </c>
      <c r="L247" s="321"/>
      <c r="M247" s="321"/>
      <c r="N247" s="321"/>
      <c r="O247" s="321"/>
      <c r="P247" s="321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</row>
    <row r="248" spans="1:26" ht="19.5" hidden="1">
      <c r="A248" s="292"/>
      <c r="B248" s="293"/>
      <c r="C248" s="294" t="s">
        <v>331</v>
      </c>
      <c r="D248" s="295"/>
      <c r="E248" s="295"/>
      <c r="F248" s="295"/>
      <c r="G248" s="296"/>
      <c r="H248" s="297" t="s">
        <v>35</v>
      </c>
      <c r="I248" s="298">
        <f t="shared" ref="I248:J248" ca="1" si="112">I255</f>
        <v>0</v>
      </c>
      <c r="J248" s="298">
        <f t="shared" si="112"/>
        <v>0</v>
      </c>
      <c r="K248" s="299">
        <f t="shared" ca="1" si="111"/>
        <v>0</v>
      </c>
      <c r="L248" s="300"/>
      <c r="M248" s="300"/>
      <c r="N248" s="300"/>
      <c r="O248" s="300"/>
      <c r="P248" s="300"/>
      <c r="Q248" s="301"/>
      <c r="R248" s="301"/>
      <c r="S248" s="301"/>
      <c r="T248" s="301"/>
      <c r="U248" s="301"/>
      <c r="V248" s="301"/>
      <c r="W248" s="301"/>
      <c r="X248" s="301"/>
      <c r="Y248" s="301"/>
      <c r="Z248" s="301"/>
    </row>
    <row r="249" spans="1:26" ht="19.5" hidden="1">
      <c r="A249" s="302"/>
      <c r="B249" s="303"/>
      <c r="C249" s="304" t="s">
        <v>16</v>
      </c>
      <c r="D249" s="872" t="s">
        <v>17</v>
      </c>
      <c r="E249" s="303"/>
      <c r="F249" s="303"/>
      <c r="G249" s="306"/>
      <c r="H249" s="307" t="s">
        <v>12</v>
      </c>
      <c r="I249" s="308"/>
      <c r="J249" s="308"/>
      <c r="K249" s="309"/>
      <c r="L249" s="310">
        <f ca="1">L250+L251+L252+L253</f>
        <v>0</v>
      </c>
      <c r="M249" s="310"/>
      <c r="N249" s="310">
        <f>N250+N251+N252+N253</f>
        <v>0</v>
      </c>
      <c r="O249" s="310">
        <f ca="1">IF(L249&gt;0,N249*100/L249,0)</f>
        <v>0</v>
      </c>
      <c r="P249" s="310">
        <f>IF(M249&gt;0,N249*100/M249,0)</f>
        <v>0</v>
      </c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IFERROR(__xludf.DUMMYFUNCTION("IMPORTRANGE(""https://docs.google.com/spreadsheets/d/1QqKyyYR6Q21VydFLVH3TRQUabQu_ym0Zz7PgGX0-kHA/edit?usp=sharing"",""แผน!AZ79"")"),0)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IFERROR(__xludf.DUMMYFUNCTION("IMPORTRANGE(""https://docs.google.com/spreadsheets/d/1QqKyyYR6Q21VydFLVH3TRQUabQu_ym0Zz7PgGX0-kHA/edit?usp=sharing"",""แผน!BA79"")"),0)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IFERROR(__xludf.DUMMYFUNCTION("IMPORTRANGE(""https://docs.google.com/spreadsheets/d/1QqKyyYR6Q21VydFLVH3TRQUabQu_ym0Zz7PgGX0-kHA/edit?usp=sharing"",""แผน!BB79"")"),0)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IFERROR(__xludf.DUMMYFUNCTION("IMPORTRANGE(""https://docs.google.com/spreadsheets/d/1QqKyyYR6Q21VydFLVH3TRQUabQu_ym0Zz7PgGX0-kHA/edit?usp=sharing"",""แผน!BC79"")"),0)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327"/>
      <c r="B254" s="328"/>
      <c r="C254" s="323" t="s">
        <v>16</v>
      </c>
      <c r="D254" s="870" t="s">
        <v>38</v>
      </c>
      <c r="E254" s="330"/>
      <c r="F254" s="330"/>
      <c r="G254" s="331"/>
      <c r="H254" s="332"/>
      <c r="I254" s="319"/>
      <c r="J254" s="325"/>
      <c r="K254" s="321"/>
      <c r="L254" s="321"/>
      <c r="M254" s="321"/>
      <c r="N254" s="321"/>
      <c r="O254" s="320"/>
      <c r="P254" s="320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</row>
    <row r="255" spans="1:26" ht="18.75" hidden="1">
      <c r="A255" s="327"/>
      <c r="B255" s="328"/>
      <c r="C255" s="328"/>
      <c r="D255" s="333" t="s">
        <v>117</v>
      </c>
      <c r="E255" s="334"/>
      <c r="F255" s="334"/>
      <c r="G255" s="335"/>
      <c r="H255" s="336" t="s">
        <v>35</v>
      </c>
      <c r="I255" s="325">
        <f ca="1">IFERROR(__xludf.DUMMYFUNCTION("IMPORTRANGE(""https://docs.google.com/spreadsheets/d/1QqKyyYR6Q21VydFLVH3TRQUabQu_ym0Zz7PgGX0-kHA/edit?usp=sharing"",""แผน!BF79"")"),0)</f>
        <v>0</v>
      </c>
      <c r="J255" s="871">
        <v>0</v>
      </c>
      <c r="K255" s="321">
        <f ca="1">IF(I255&gt;0,J255*100/I255,0)</f>
        <v>0</v>
      </c>
      <c r="L255" s="321"/>
      <c r="M255" s="321"/>
      <c r="N255" s="321"/>
      <c r="O255" s="321"/>
      <c r="P255" s="321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</row>
    <row r="256" spans="1:26" ht="18.75" hidden="1">
      <c r="A256" s="327"/>
      <c r="B256" s="328"/>
      <c r="C256" s="328"/>
      <c r="D256" s="337" t="s">
        <v>43</v>
      </c>
      <c r="E256" s="334"/>
      <c r="F256" s="334"/>
      <c r="G256" s="335"/>
      <c r="H256" s="336"/>
      <c r="I256" s="325"/>
      <c r="J256" s="325"/>
      <c r="K256" s="321"/>
      <c r="L256" s="321"/>
      <c r="M256" s="321"/>
      <c r="N256" s="321"/>
      <c r="O256" s="320"/>
      <c r="P256" s="320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</row>
    <row r="257" spans="1:26" ht="18.75" hidden="1">
      <c r="A257" s="327"/>
      <c r="B257" s="328"/>
      <c r="C257" s="328"/>
      <c r="D257" s="328"/>
      <c r="E257" s="338" t="s">
        <v>118</v>
      </c>
      <c r="F257" s="334"/>
      <c r="G257" s="335"/>
      <c r="H257" s="336" t="s">
        <v>35</v>
      </c>
      <c r="I257" s="325"/>
      <c r="J257" s="871">
        <v>0</v>
      </c>
      <c r="K257" s="321">
        <f t="shared" ref="K257:K258" si="113">IF(I257&gt;0,J257*100/I257,0)</f>
        <v>0</v>
      </c>
      <c r="L257" s="321"/>
      <c r="M257" s="321"/>
      <c r="N257" s="321"/>
      <c r="O257" s="321"/>
      <c r="P257" s="321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</row>
    <row r="258" spans="1:26" ht="18.75" hidden="1">
      <c r="A258" s="327"/>
      <c r="B258" s="328"/>
      <c r="C258" s="328"/>
      <c r="D258" s="328"/>
      <c r="E258" s="338" t="s">
        <v>119</v>
      </c>
      <c r="F258" s="334"/>
      <c r="G258" s="335"/>
      <c r="H258" s="336" t="s">
        <v>69</v>
      </c>
      <c r="I258" s="325"/>
      <c r="J258" s="871">
        <v>0</v>
      </c>
      <c r="K258" s="321">
        <f t="shared" si="113"/>
        <v>0</v>
      </c>
      <c r="L258" s="321"/>
      <c r="M258" s="321"/>
      <c r="N258" s="321"/>
      <c r="O258" s="321"/>
      <c r="P258" s="321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16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21200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8"/>
        <v>21200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21200</v>
      </c>
      <c r="M264" s="497">
        <f t="shared" ca="1" si="119"/>
        <v>0</v>
      </c>
      <c r="N264" s="497">
        <f t="shared" ca="1" si="119"/>
        <v>0</v>
      </c>
      <c r="O264" s="497">
        <f t="shared" ca="1" si="116"/>
        <v>0</v>
      </c>
      <c r="P264" s="497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IFERROR(__xludf.DUMMYFUNCTION("IMPORTRANGE(""https://docs.google.com/spreadsheets/d/1MeEWN-I1oV_STSDYn1IFDPWt_1FKiwhDph83XaGc0o0/edit?usp=sharing"",""งบพรบ!DD79"")"),0)</f>
        <v>0</v>
      </c>
      <c r="N266" s="93">
        <f ca="1">IFERROR(__xludf.DUMMYFUNCTION("IMPORTRANGE(""https://docs.google.com/spreadsheets/d/1MeEWN-I1oV_STSDYn1IFDPWt_1FKiwhDph83XaGc0o0/edit?usp=sharing"",""งบพรบ!DF79"")"),0)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IFERROR(__xludf.DUMMYFUNCTION("IMPORTRANGE(""https://docs.google.com/spreadsheets/d/1QqKyyYR6Q21VydFLVH3TRQUabQu_ym0Zz7PgGX0-kHA/edit?usp=sharing"",""แผน!EA79"")"),16)</f>
        <v>16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3">I287</f>
        <v>0</v>
      </c>
      <c r="J276" s="409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IFERROR(__xludf.DUMMYFUNCTION("IMPORTRANGE(""https://docs.google.com/spreadsheets/d/1QqKyyYR6Q21VydFLVH3TRQUabQu_ym0Zz7PgGX0-kHA/edit?usp=sharing"",""แผน!EC79"")"),0)</f>
        <v>0</v>
      </c>
      <c r="J287" s="269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IFERROR(__xludf.DUMMYFUNCTION("IMPORTRANGE(""https://docs.google.com/spreadsheets/d/1QqKyyYR6Q21VydFLVH3TRQUabQu_ym0Zz7PgGX0-kHA/edit?usp=sharing"",""แผน!EB79"")"),0)</f>
        <v>0</v>
      </c>
      <c r="J288" s="675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IFERROR(__xludf.DUMMYFUNCTION("IMPORTRANGE(""https://docs.google.com/spreadsheets/d/1QqKyyYR6Q21VydFLVH3TRQUabQu_ym0Zz7PgGX0-kHA/edit?usp=sharing"",""แผน!EB79"")"),0)</f>
        <v>0</v>
      </c>
      <c r="J294" s="424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IFERROR(__xludf.DUMMYFUNCTION("IMPORTRANGE(""https://docs.google.com/spreadsheets/d/1QqKyyYR6Q21VydFLVH3TRQUabQu_ym0Zz7PgGX0-kHA/edit?usp=sharing"",""แผน!ED79"")"),0)</f>
        <v>0</v>
      </c>
      <c r="J309" s="214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IFERROR(__xludf.DUMMYFUNCTION("IMPORTRANGE(""https://docs.google.com/spreadsheets/d/1QqKyyYR6Q21VydFLVH3TRQUabQu_ym0Zz7PgGX0-kHA/edit?usp=sharing"",""แผน!ED79"")"),0)</f>
        <v>0</v>
      </c>
      <c r="J310" s="214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IFERROR(__xludf.DUMMYFUNCTION("IMPORTRANGE(""https://docs.google.com/spreadsheets/d/1QqKyyYR6Q21VydFLVH3TRQUabQu_ym0Zz7PgGX0-kHA/edit?usp=sharing"",""แผน!ED79"")"),0)</f>
        <v>0</v>
      </c>
      <c r="J311" s="214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IFERROR(__xludf.DUMMYFUNCTION("IMPORTRANGE(""https://docs.google.com/spreadsheets/d/1QqKyyYR6Q21VydFLVH3TRQUabQu_ym0Zz7PgGX0-kHA/edit?usp=sharing"",""แผน!EE79"")"),0)</f>
        <v>0</v>
      </c>
      <c r="J312" s="214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IFERROR(__xludf.DUMMYFUNCTION("IMPORTRANGE(""https://docs.google.com/spreadsheets/d/1QqKyyYR6Q21VydFLVH3TRQUabQu_ym0Zz7PgGX0-kHA/edit?usp=sharing"",""แผน!EF79"")"),0)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IFERROR(__xludf.DUMMYFUNCTION("IMPORTRANGE(""https://docs.google.com/spreadsheets/d/1QqKyyYR6Q21VydFLVH3TRQUabQu_ym0Zz7PgGX0-kHA/edit?usp=sharing"",""แผน!EG79"")"),300)</f>
        <v>300</v>
      </c>
      <c r="J327" s="444">
        <f ca="1">J338+J341+J342+J343</f>
        <v>209</v>
      </c>
      <c r="K327" s="445">
        <f ca="1">IF(I327&gt;0,J327*100/I327,0)</f>
        <v>69.666666666666671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157000</v>
      </c>
      <c r="M328" s="155">
        <f t="shared" ca="1" si="148"/>
        <v>78500</v>
      </c>
      <c r="N328" s="155">
        <f t="shared" ca="1" si="148"/>
        <v>33738</v>
      </c>
      <c r="O328" s="155">
        <f t="shared" ref="O328:O336" ca="1" si="149">IF(L328&gt;0,N328*100/L328,0)</f>
        <v>21.489171974522293</v>
      </c>
      <c r="P328" s="155">
        <f t="shared" ref="P328:P336" ca="1" si="150">IF(M328&gt;0,N328*100/M328,0)</f>
        <v>42.978343949044586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1"/>
        <v>157000</v>
      </c>
      <c r="M330" s="93">
        <f t="shared" ca="1" si="151"/>
        <v>78500</v>
      </c>
      <c r="N330" s="93">
        <f t="shared" ca="1" si="151"/>
        <v>33738</v>
      </c>
      <c r="O330" s="93">
        <f t="shared" ca="1" si="149"/>
        <v>21.489171974522293</v>
      </c>
      <c r="P330" s="93">
        <f t="shared" ca="1" si="150"/>
        <v>42.978343949044586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157000</v>
      </c>
      <c r="M331" s="497">
        <f t="shared" ca="1" si="152"/>
        <v>78500</v>
      </c>
      <c r="N331" s="497">
        <f t="shared" ca="1" si="152"/>
        <v>33738</v>
      </c>
      <c r="O331" s="497">
        <f t="shared" ca="1" si="149"/>
        <v>21.489171974522293</v>
      </c>
      <c r="P331" s="497">
        <f t="shared" ca="1" si="150"/>
        <v>42.978343949044586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IFERROR(__xludf.DUMMYFUNCTION("IMPORTRANGE(""https://docs.google.com/spreadsheets/d/1MeEWN-I1oV_STSDYn1IFDPWt_1FKiwhDph83XaGc0o0/edit?usp=sharing"",""งบพรบ!ER79"")"),78500)</f>
        <v>78500</v>
      </c>
      <c r="N333" s="93">
        <f ca="1">IFERROR(__xludf.DUMMYFUNCTION("IMPORTRANGE(""https://docs.google.com/spreadsheets/d/1MeEWN-I1oV_STSDYn1IFDPWt_1FKiwhDph83XaGc0o0/edit?usp=sharing"",""งบพรบ!ET79"")"),33738)</f>
        <v>33738</v>
      </c>
      <c r="O333" s="93">
        <f t="shared" ca="1" si="149"/>
        <v>21.489171974522293</v>
      </c>
      <c r="P333" s="93">
        <f t="shared" ca="1" si="150"/>
        <v>42.978343949044586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IFERROR(__xludf.DUMMYFUNCTION("IMPORTRANGE(""https://docs.google.com/spreadsheets/d/1QqKyyYR6Q21VydFLVH3TRQUabQu_ym0Zz7PgGX0-kHA/edit?usp=sharing"",""แผน!EG73"")"),50)</f>
        <v>50</v>
      </c>
      <c r="J338" s="269">
        <f ca="1">IFERROR(__xludf.DUMMYFUNCTION("IMPORTRANGE(""https://docs.google.com/spreadsheets/d/1kVcqe37tkHyjCSG3S0O1AXqVkqjo8mSIZil3BcpIysc/edit?usp=sharing"",""ศูนย์!D79"")"),79)</f>
        <v>79</v>
      </c>
      <c r="K338" s="497">
        <f ca="1">IF(I338&gt;0,J338*100/I338,0)</f>
        <v>158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IFERROR(__xludf.DUMMYFUNCTION("IMPORTRANGE(""https://docs.google.com/spreadsheets/d/1QqKyyYR6Q21VydFLVH3TRQUabQu_ym0Zz7PgGX0-kHA/edit?usp=sharing"",""แผน!EH73"")"),2)</f>
        <v>2</v>
      </c>
      <c r="J340" s="269">
        <f ca="1">IFERROR(__xludf.DUMMYFUNCTION("IMPORTRANGE(""https://docs.google.com/spreadsheets/d/1kVcqe37tkHyjCSG3S0O1AXqVkqjo8mSIZil3BcpIysc/edit?usp=sharing"",""ศูนย์!E79"")"),1)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IFERROR(__xludf.DUMMYFUNCTION("IMPORTRANGE(""https://docs.google.com/spreadsheets/d/1kVcqe37tkHyjCSG3S0O1AXqVkqjo8mSIZil3BcpIysc/edit?usp=sharing"",""ศูนย์!F79"")"),130)</f>
        <v>130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IFERROR(__xludf.DUMMYFUNCTION("IMPORTRANGE(""https://docs.google.com/spreadsheets/d/1kVcqe37tkHyjCSG3S0O1AXqVkqjo8mSIZil3BcpIysc/edit?usp=sharing"",""ศูนย์!G79"")"),0)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IFERROR(__xludf.DUMMYFUNCTION("IMPORTRANGE(""https://docs.google.com/spreadsheets/d/1kVcqe37tkHyjCSG3S0O1AXqVkqjo8mSIZil3BcpIysc/edit?usp=sharing"",""ศูนย์!H79"")"),0)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396570</v>
      </c>
      <c r="M345" s="155">
        <f t="shared" ca="1" si="154"/>
        <v>243700</v>
      </c>
      <c r="N345" s="155">
        <f t="shared" ca="1" si="154"/>
        <v>151889</v>
      </c>
      <c r="O345" s="155">
        <f t="shared" ref="O345:O353" ca="1" si="155">IF(L345&gt;0,N345*100/L345,0)</f>
        <v>38.300678316564543</v>
      </c>
      <c r="P345" s="155">
        <f t="shared" ref="P345:P353" ca="1" si="156">IF(M345&gt;0,N345*100/M345,0)</f>
        <v>62.326220763233486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7"/>
        <v>396570</v>
      </c>
      <c r="M347" s="93">
        <f t="shared" ca="1" si="157"/>
        <v>243700</v>
      </c>
      <c r="N347" s="93">
        <f t="shared" ca="1" si="157"/>
        <v>151889</v>
      </c>
      <c r="O347" s="93">
        <f t="shared" ca="1" si="155"/>
        <v>38.300678316564543</v>
      </c>
      <c r="P347" s="93">
        <f t="shared" ca="1" si="156"/>
        <v>62.326220763233486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305770</v>
      </c>
      <c r="M348" s="497">
        <f t="shared" ca="1" si="158"/>
        <v>152900</v>
      </c>
      <c r="N348" s="497">
        <f t="shared" ca="1" si="158"/>
        <v>61089</v>
      </c>
      <c r="O348" s="497">
        <f t="shared" ca="1" si="155"/>
        <v>19.978742191843544</v>
      </c>
      <c r="P348" s="497">
        <f t="shared" ca="1" si="156"/>
        <v>39.953564421190322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IFERROR(__xludf.DUMMYFUNCTION("IMPORTRANGE(""https://docs.google.com/spreadsheets/d/1MeEWN-I1oV_STSDYn1IFDPWt_1FKiwhDph83XaGc0o0/edit?usp=sharing"",""งบพรบ!FB79"")"),152900)</f>
        <v>152900</v>
      </c>
      <c r="N350" s="93">
        <f ca="1">IFERROR(__xludf.DUMMYFUNCTION("IMPORTRANGE(""https://docs.google.com/spreadsheets/d/1MeEWN-I1oV_STSDYn1IFDPWt_1FKiwhDph83XaGc0o0/edit?usp=sharing"",""งบพรบ!FD79"")"),61089)</f>
        <v>61089</v>
      </c>
      <c r="O350" s="93">
        <f t="shared" ca="1" si="155"/>
        <v>19.978742191843544</v>
      </c>
      <c r="P350" s="93">
        <f t="shared" ca="1" si="156"/>
        <v>39.953564421190322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90800</v>
      </c>
      <c r="M351" s="497">
        <f t="shared" ca="1" si="159"/>
        <v>90800</v>
      </c>
      <c r="N351" s="497">
        <f t="shared" ca="1" si="159"/>
        <v>90800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IFERROR(__xludf.DUMMYFUNCTION("IMPORTRANGE(""https://docs.google.com/spreadsheets/d/1QqKyyYR6Q21VydFLVH3TRQUabQu_ym0Zz7PgGX0-kHA/edit?usp=sharing"",""แผน!EP79"")"),27)</f>
        <v>27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IFERROR(__xludf.DUMMYFUNCTION("IMPORTRANGE(""https://docs.google.com/spreadsheets/d/1XWAQStnk-4SwqDmLtmXYiTMKHgktTP8We1SCoS47DrQ/edit?usp=sharing"",""จัดที่ดิน!W79"")"),3)</f>
        <v>3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IFERROR(__xludf.DUMMYFUNCTION("IMPORTRANGE(""https://docs.google.com/spreadsheets/d/1QqKyyYR6Q21VydFLVH3TRQUabQu_ym0Zz7PgGX0-kHA/edit?usp=sharing"",""แผน!EO79"")"),90)</f>
        <v>90</v>
      </c>
      <c r="J359" s="269">
        <f ca="1">IFERROR(__xludf.DUMMYFUNCTION("IMPORTRANGE(""https://docs.google.com/spreadsheets/d/1XWAQStnk-4SwqDmLtmXYiTMKHgktTP8We1SCoS47DrQ/edit?usp=sharing"",""จัดที่ดิน!X79"")"),31.03)</f>
        <v>31.03</v>
      </c>
      <c r="K359" s="497">
        <f t="shared" ca="1" si="160"/>
        <v>34.477777777777774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IFERROR(__xludf.DUMMYFUNCTION("IMPORTRANGE(""https://docs.google.com/spreadsheets/d/1QqKyyYR6Q21VydFLVH3TRQUabQu_ym0Zz7PgGX0-kHA/edit?usp=sharing"",""แผน!EP79"")"),27)</f>
        <v>27</v>
      </c>
      <c r="J360" s="269">
        <f ca="1">IFERROR(__xludf.DUMMYFUNCTION("IMPORTRANGE(""https://docs.google.com/spreadsheets/d/1XWAQStnk-4SwqDmLtmXYiTMKHgktTP8We1SCoS47DrQ/edit?usp=sharing"",""จัดที่ดิน!Y79"")"),13)</f>
        <v>13</v>
      </c>
      <c r="K360" s="497">
        <f t="shared" ca="1" si="160"/>
        <v>48.148148148148145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IFERROR(__xludf.DUMMYFUNCTION("IMPORTRANGE(""https://docs.google.com/spreadsheets/d/1XWAQStnk-4SwqDmLtmXYiTMKHgktTP8We1SCoS47DrQ/edit?usp=sharing"",""จัดที่ดิน!Z79"")"),13.47)</f>
        <v>13.47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IFERROR(__xludf.DUMMYFUNCTION("IMPORTRANGE(""https://docs.google.com/spreadsheets/d/1QqKyyYR6Q21VydFLVH3TRQUabQu_ym0Zz7PgGX0-kHA/edit?usp=sharing"",""แผน!EP79"")"),27)</f>
        <v>27</v>
      </c>
      <c r="J362" s="269">
        <f ca="1">IFERROR(__xludf.DUMMYFUNCTION("IMPORTRANGE(""https://docs.google.com/spreadsheets/d/1XWAQStnk-4SwqDmLtmXYiTMKHgktTP8We1SCoS47DrQ/edit?usp=sharing"",""จัดที่ดิน!AA79"")"),0)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IFERROR(__xludf.DUMMYFUNCTION("IMPORTRANGE(""https://docs.google.com/spreadsheets/d/1XWAQStnk-4SwqDmLtmXYiTMKHgktTP8We1SCoS47DrQ/edit?usp=sharing"",""จัดที่ดิน!AB79"")"),0)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42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IFERROR(__xludf.DUMMYFUNCTION("IMPORTRANGE(""https://docs.google.com/spreadsheets/d/1QqKyyYR6Q21VydFLVH3TRQUabQu_ym0Zz7PgGX0-kHA/edit?usp=sharing"",""แผน!EJ79"")"),17)</f>
        <v>17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IFERROR(__xludf.DUMMYFUNCTION("IMPORTRANGE(""https://docs.google.com/spreadsheets/d/1XWAQStnk-4SwqDmLtmXYiTMKHgktTP8We1SCoS47DrQ/edit?usp=sharing"",""จัดที่ดิน!E79"")"),1)</f>
        <v>1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IFERROR(__xludf.DUMMYFUNCTION("IMPORTRANGE(""https://docs.google.com/spreadsheets/d/1QqKyyYR6Q21VydFLVH3TRQUabQu_ym0Zz7PgGX0-kHA/edit?usp=sharing"",""แผน!EI79"")"),50)</f>
        <v>50</v>
      </c>
      <c r="J369" s="269">
        <f ca="1">IFERROR(__xludf.DUMMYFUNCTION("IMPORTRANGE(""https://docs.google.com/spreadsheets/d/1XWAQStnk-4SwqDmLtmXYiTMKHgktTP8We1SCoS47DrQ/edit?usp=sharing"",""จัดที่ดิน!F79"")"),28.69)</f>
        <v>28.69</v>
      </c>
      <c r="K369" s="497">
        <f t="shared" ca="1" si="162"/>
        <v>57.38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IFERROR(__xludf.DUMMYFUNCTION("IMPORTRANGE(""https://docs.google.com/spreadsheets/d/1QqKyyYR6Q21VydFLVH3TRQUabQu_ym0Zz7PgGX0-kHA/edit?usp=sharing"",""แผน!EJ79"")"),17)</f>
        <v>17</v>
      </c>
      <c r="J370" s="269">
        <f ca="1">IFERROR(__xludf.DUMMYFUNCTION("IMPORTRANGE(""https://docs.google.com/spreadsheets/d/1XWAQStnk-4SwqDmLtmXYiTMKHgktTP8We1SCoS47DrQ/edit?usp=sharing"",""จัดที่ดิน!G79"")"),1)</f>
        <v>1</v>
      </c>
      <c r="K370" s="497">
        <f t="shared" ca="1" si="162"/>
        <v>5.882352941176471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IFERROR(__xludf.DUMMYFUNCTION("IMPORTRANGE(""https://docs.google.com/spreadsheets/d/1XWAQStnk-4SwqDmLtmXYiTMKHgktTP8We1SCoS47DrQ/edit?usp=sharing"",""จัดที่ดิน!H79"")"),0.9)</f>
        <v>0.9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IFERROR(__xludf.DUMMYFUNCTION("IMPORTRANGE(""https://docs.google.com/spreadsheets/d/1QqKyyYR6Q21VydFLVH3TRQUabQu_ym0Zz7PgGX0-kHA/edit?usp=sharing"",""แผน!EJ79"")"),17)</f>
        <v>17</v>
      </c>
      <c r="J372" s="269">
        <f ca="1">IFERROR(__xludf.DUMMYFUNCTION("IMPORTRANGE(""https://docs.google.com/spreadsheets/d/1XWAQStnk-4SwqDmLtmXYiTMKHgktTP8We1SCoS47DrQ/edit?usp=sharing"",""จัดที่ดิน!I79"")"),0)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IFERROR(__xludf.DUMMYFUNCTION("IMPORTRANGE(""https://docs.google.com/spreadsheets/d/1XWAQStnk-4SwqDmLtmXYiTMKHgktTP8We1SCoS47DrQ/edit?usp=sharing"",""จัดที่ดิน!J79"")"),0)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IFERROR(__xludf.DUMMYFUNCTION("IMPORTRANGE(""https://docs.google.com/spreadsheets/d/1QqKyyYR6Q21VydFLVH3TRQUabQu_ym0Zz7PgGX0-kHA/edit?usp=sharing"",""แผน!EU79"")"),25)</f>
        <v>25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IFERROR(__xludf.DUMMYFUNCTION("IMPORTRANGE(""https://docs.google.com/spreadsheets/d/1XWAQStnk-4SwqDmLtmXYiTMKHgktTP8We1SCoS47DrQ/edit?usp=sharing"",""จัดที่ดิน!AH79"")"),2)</f>
        <v>2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IFERROR(__xludf.DUMMYFUNCTION("IMPORTRANGE(""https://docs.google.com/spreadsheets/d/1QqKyyYR6Q21VydFLVH3TRQUabQu_ym0Zz7PgGX0-kHA/edit?usp=sharing"",""แผน!ET79"")"),40)</f>
        <v>40</v>
      </c>
      <c r="J378" s="269">
        <f ca="1">IFERROR(__xludf.DUMMYFUNCTION("IMPORTRANGE(""https://docs.google.com/spreadsheets/d/1XWAQStnk-4SwqDmLtmXYiTMKHgktTP8We1SCoS47DrQ/edit?usp=sharing"",""จัดที่ดิน!AI79"")"),2.34)</f>
        <v>2.34</v>
      </c>
      <c r="K378" s="497">
        <f t="shared" ca="1" si="163"/>
        <v>5.85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IFERROR(__xludf.DUMMYFUNCTION("IMPORTRANGE(""https://docs.google.com/spreadsheets/d/1QqKyyYR6Q21VydFLVH3TRQUabQu_ym0Zz7PgGX0-kHA/edit?usp=sharing"",""แผน!EU79"")"),25)</f>
        <v>25</v>
      </c>
      <c r="J379" s="269">
        <f ca="1">IFERROR(__xludf.DUMMYFUNCTION("IMPORTRANGE(""https://docs.google.com/spreadsheets/d/1XWAQStnk-4SwqDmLtmXYiTMKHgktTP8We1SCoS47DrQ/edit?usp=sharing"",""จัดที่ดิน!AJ79"")"),20)</f>
        <v>20</v>
      </c>
      <c r="K379" s="497">
        <f t="shared" ca="1" si="163"/>
        <v>80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IFERROR(__xludf.DUMMYFUNCTION("IMPORTRANGE(""https://docs.google.com/spreadsheets/d/1XWAQStnk-4SwqDmLtmXYiTMKHgktTP8We1SCoS47DrQ/edit?usp=sharing"",""จัดที่ดิน!AK79"")"),60.3)</f>
        <v>60.3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IFERROR(__xludf.DUMMYFUNCTION("IMPORTRANGE(""https://docs.google.com/spreadsheets/d/1QqKyyYR6Q21VydFLVH3TRQUabQu_ym0Zz7PgGX0-kHA/edit?usp=sharing"",""แผน!EU79"")"),25)</f>
        <v>25</v>
      </c>
      <c r="J381" s="269">
        <f ca="1">IFERROR(__xludf.DUMMYFUNCTION("IMPORTRANGE(""https://docs.google.com/spreadsheets/d/1XWAQStnk-4SwqDmLtmXYiTMKHgktTP8We1SCoS47DrQ/edit?usp=sharing"",""จัดที่ดิน!AL79"")"),0)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IFERROR(__xludf.DUMMYFUNCTION("IMPORTRANGE(""https://docs.google.com/spreadsheets/d/1XWAQStnk-4SwqDmLtmXYiTMKHgktTP8We1SCoS47DrQ/edit?usp=sharing"",""จัดที่ดิน!AM79"")"),0)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IFERROR(__xludf.DUMMYFUNCTION("IMPORTRANGE(""https://docs.google.com/spreadsheets/d/1QqKyyYR6Q21VydFLVH3TRQUabQu_ym0Zz7PgGX0-kHA/edit?usp=sharing"",""แผน!EW79"")"),0)</f>
        <v>0</v>
      </c>
      <c r="J385" s="500">
        <f ca="1">IFERROR(__xludf.DUMMYFUNCTION("IMPORTRANGE(""https://docs.google.com/spreadsheets/d/1XWAQStnk-4SwqDmLtmXYiTMKHgktTP8We1SCoS47DrQ/edit?usp=sharing"",""จัดที่ดิน!AP79"")"),0)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4">I400</f>
        <v>0</v>
      </c>
      <c r="J388" s="521">
        <f t="shared" si="164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1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2">I412</f>
        <v>0</v>
      </c>
      <c r="J401" s="521">
        <f t="shared" si="172"/>
        <v>0</v>
      </c>
      <c r="K401" s="522">
        <f t="shared" si="171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79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0">L419+L444+L467+L502+L523+L544+L629+L655+L685+L737+L754+L770+L786+L805</f>
        <v>603434</v>
      </c>
      <c r="M414" s="548">
        <f t="shared" si="180"/>
        <v>0</v>
      </c>
      <c r="N414" s="548">
        <f t="shared" si="180"/>
        <v>122939</v>
      </c>
      <c r="O414" s="548">
        <f ca="1">IF(L414&gt;0,N414*100/L414,0)</f>
        <v>20.37323054385401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1">I433</f>
        <v>15</v>
      </c>
      <c r="J417" s="564">
        <f t="shared" ca="1" si="181"/>
        <v>0</v>
      </c>
      <c r="K417" s="565">
        <f t="shared" ref="K417:K418" ca="1" si="182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1"/>
        <v>1</v>
      </c>
      <c r="J418" s="564">
        <f t="shared" si="181"/>
        <v>0</v>
      </c>
      <c r="K418" s="565">
        <f t="shared" ca="1" si="182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3">L420+L421</f>
        <v>66560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6"/>
        <v>66560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66560</v>
      </c>
      <c r="M422" s="497">
        <f t="shared" si="187"/>
        <v>0</v>
      </c>
      <c r="N422" s="497">
        <f t="shared" si="187"/>
        <v>0</v>
      </c>
      <c r="O422" s="497">
        <f t="shared" ca="1" si="184"/>
        <v>0</v>
      </c>
      <c r="P422" s="497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IFERROR(__xludf.DUMMYFUNCTION("IMPORTRANGE(""https://docs.google.com/spreadsheets/d/1QqKyyYR6Q21VydFLVH3TRQUabQu_ym0Zz7PgGX0-kHA/edit?usp=sharing"",""แผน!EY79"")"),66560)</f>
        <v>66560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2">I438+I440</f>
        <v>1</v>
      </c>
      <c r="J434" s="675">
        <f t="shared" si="192"/>
        <v>0</v>
      </c>
      <c r="K434" s="195">
        <f t="shared" ca="1" si="191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IFERROR(__xludf.DUMMYFUNCTION("IMPORTRANGE(""https://docs.google.com/spreadsheets/d/1QqKyyYR6Q21VydFLVH3TRQUabQu_ym0Zz7PgGX0-kHA/edit?usp=sharing"",""แผน!FC79"")"),15)</f>
        <v>15</v>
      </c>
      <c r="J435" s="578">
        <v>0</v>
      </c>
      <c r="K435" s="497">
        <f t="shared" ca="1" si="191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IFERROR(__xludf.DUMMYFUNCTION("IMPORTRANGE(""https://docs.google.com/spreadsheets/d/1QqKyyYR6Q21VydFLVH3TRQUabQu_ym0Zz7PgGX0-kHA/edit?usp=sharing"",""แผน!FD79"")"),0)</f>
        <v>0</v>
      </c>
      <c r="J437" s="578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IFERROR(__xludf.DUMMYFUNCTION("IMPORTRANGE(""https://docs.google.com/spreadsheets/d/1QqKyyYR6Q21VydFLVH3TRQUabQu_ym0Zz7PgGX0-kHA/edit?usp=sharing"",""แผน!FE79"")"),0)</f>
        <v>0</v>
      </c>
      <c r="J438" s="214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IFERROR(__xludf.DUMMYFUNCTION("IMPORTRANGE(""https://docs.google.com/spreadsheets/d/1QqKyyYR6Q21VydFLVH3TRQUabQu_ym0Zz7PgGX0-kHA/edit?usp=sharing"",""แผน!FF79"")"),15)</f>
        <v>15</v>
      </c>
      <c r="J439" s="578">
        <v>0</v>
      </c>
      <c r="K439" s="497">
        <f t="shared" ca="1" si="193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IFERROR(__xludf.DUMMYFUNCTION("IMPORTRANGE(""https://docs.google.com/spreadsheets/d/1QqKyyYR6Q21VydFLVH3TRQUabQu_ym0Zz7PgGX0-kHA/edit?usp=sharing"",""แผน!FG79"")"),1)</f>
        <v>1</v>
      </c>
      <c r="J440" s="214">
        <v>0</v>
      </c>
      <c r="K440" s="497">
        <f t="shared" ca="1" si="193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IFERROR(__xludf.DUMMYFUNCTION("IMPORTRANGE(""https://docs.google.com/spreadsheets/d/1QqKyyYR6Q21VydFLVH3TRQUabQu_ym0Zz7PgGX0-kHA/edit?usp=sharing"",""แผน!FH79"")"),0)</f>
        <v>0</v>
      </c>
      <c r="J441" s="269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4">I460</f>
        <v>0</v>
      </c>
      <c r="J442" s="584">
        <f t="shared" si="194"/>
        <v>0</v>
      </c>
      <c r="K442" s="585">
        <f t="shared" ca="1" si="193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5">I462</f>
        <v>0</v>
      </c>
      <c r="J443" s="564">
        <f t="shared" si="195"/>
        <v>0</v>
      </c>
      <c r="K443" s="565">
        <f t="shared" ca="1" si="193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IFERROR(__xludf.DUMMYFUNCTION("IMPORTRANGE(""https://docs.google.com/spreadsheets/d/1QqKyyYR6Q21VydFLVH3TRQUabQu_ym0Zz7PgGX0-kHA/edit?usp=sharing"",""แผน!FN79"")"),0)</f>
        <v>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IFERROR(__xludf.DUMMYFUNCTION("IMPORTRANGE(""https://docs.google.com/spreadsheets/d/1QqKyyYR6Q21VydFLVH3TRQUabQu_ym0Zz7PgGX0-kHA/edit?usp=sharing"",""แผน!FO79"")"),0)</f>
        <v>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IFERROR(__xludf.DUMMYFUNCTION("IMPORTRANGE(""https://docs.google.com/spreadsheets/d/1QqKyyYR6Q21VydFLVH3TRQUabQu_ym0Zz7PgGX0-kHA/edit?usp=sharing"",""แผน!FO79"")"),0)</f>
        <v>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IFERROR(__xludf.DUMMYFUNCTION("IMPORTRANGE(""https://docs.google.com/spreadsheets/d/1QqKyyYR6Q21VydFLVH3TRQUabQu_ym0Zz7PgGX0-kHA/edit?usp=sharing"",""แผน!FN79"")"),0)</f>
        <v>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IFERROR(__xludf.DUMMYFUNCTION("IMPORTRANGE(""https://docs.google.com/spreadsheets/d/1QqKyyYR6Q21VydFLVH3TRQUabQu_ym0Zz7PgGX0-kHA/edit?usp=sharing"",""แผน!FX79"")"),11)</f>
        <v>11</v>
      </c>
      <c r="J465" s="584">
        <f>J485+J489+J492</f>
        <v>10</v>
      </c>
      <c r="K465" s="585">
        <f t="shared" ref="K465:K466" ca="1" si="204">IF(I465&gt;0,J465*100/I465,0)</f>
        <v>90.909090909090907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IFERROR(__xludf.DUMMYFUNCTION("IMPORTRANGE(""https://docs.google.com/spreadsheets/d/1QqKyyYR6Q21VydFLVH3TRQUabQu_ym0Zz7PgGX0-kHA/edit?usp=sharing"",""แผน!FW79"")"),100)</f>
        <v>100</v>
      </c>
      <c r="J466" s="564">
        <f>J483+J487</f>
        <v>100</v>
      </c>
      <c r="K466" s="565">
        <f t="shared" ca="1" si="204"/>
        <v>100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5">L468+L469</f>
        <v>98283</v>
      </c>
      <c r="M467" s="195">
        <f t="shared" si="205"/>
        <v>0</v>
      </c>
      <c r="N467" s="195">
        <f t="shared" si="205"/>
        <v>37163</v>
      </c>
      <c r="O467" s="195">
        <f t="shared" ref="O467:O472" ca="1" si="206">IF(L467&gt;0,N467*100/L467,0)</f>
        <v>37.812236093729332</v>
      </c>
      <c r="P467" s="195">
        <f t="shared" ref="P467:P472" si="207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8"/>
        <v>98283</v>
      </c>
      <c r="M469" s="93">
        <f t="shared" si="208"/>
        <v>0</v>
      </c>
      <c r="N469" s="93">
        <f t="shared" si="208"/>
        <v>37163</v>
      </c>
      <c r="O469" s="93">
        <f t="shared" ca="1" si="206"/>
        <v>37.812236093729332</v>
      </c>
      <c r="P469" s="93">
        <f t="shared" si="207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98283</v>
      </c>
      <c r="M470" s="497">
        <f t="shared" si="209"/>
        <v>0</v>
      </c>
      <c r="N470" s="497">
        <f t="shared" si="209"/>
        <v>37163</v>
      </c>
      <c r="O470" s="497">
        <f t="shared" ca="1" si="206"/>
        <v>37.812236093729332</v>
      </c>
      <c r="P470" s="497">
        <f t="shared" si="207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IFERROR(__xludf.DUMMYFUNCTION("IMPORTRANGE(""https://docs.google.com/spreadsheets/d/1QqKyyYR6Q21VydFLVH3TRQUabQu_ym0Zz7PgGX0-kHA/edit?usp=sharing"",""แผน!FS79"")"),98283)</f>
        <v>98283</v>
      </c>
      <c r="M472" s="93">
        <v>0</v>
      </c>
      <c r="N472" s="93">
        <f>N473+N474+N475+N476</f>
        <v>37163</v>
      </c>
      <c r="O472" s="93">
        <f t="shared" ca="1" si="206"/>
        <v>37.812236093729332</v>
      </c>
      <c r="P472" s="93">
        <f t="shared" si="207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2400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34763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IFERROR(__xludf.DUMMYFUNCTION("IMPORTRANGE(""https://docs.google.com/spreadsheets/d/1QqKyyYR6Q21VydFLVH3TRQUabQu_ym0Zz7PgGX0-kHA/edit?usp=sharing"",""แผน!FY79"")"),90)</f>
        <v>90</v>
      </c>
      <c r="J483" s="214">
        <v>90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IFERROR(__xludf.DUMMYFUNCTION("IMPORTRANGE(""https://docs.google.com/spreadsheets/d/1QqKyyYR6Q21VydFLVH3TRQUabQu_ym0Zz7PgGX0-kHA/edit?usp=sharing"",""แผน!FZ79"")"),9)</f>
        <v>9</v>
      </c>
      <c r="J485" s="214">
        <v>9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IFERROR(__xludf.DUMMYFUNCTION("IMPORTRANGE(""https://docs.google.com/spreadsheets/d/1QqKyyYR6Q21VydFLVH3TRQUabQu_ym0Zz7PgGX0-kHA/edit?usp=sharing"",""แผน!GA79"")"),10)</f>
        <v>10</v>
      </c>
      <c r="J487" s="214">
        <v>10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IFERROR(__xludf.DUMMYFUNCTION("IMPORTRANGE(""https://docs.google.com/spreadsheets/d/1QqKyyYR6Q21VydFLVH3TRQUabQu_ym0Zz7PgGX0-kHA/edit?usp=sharing"",""แผน!GB79"")"),1)</f>
        <v>1</v>
      </c>
      <c r="J489" s="214">
        <v>1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IFERROR(__xludf.DUMMYFUNCTION("IMPORTRANGE(""https://docs.google.com/spreadsheets/d/1QqKyyYR6Q21VydFLVH3TRQUabQu_ym0Zz7PgGX0-kHA/edit?usp=sharing"",""แผน!GC79"")"),1)</f>
        <v>1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IFERROR(__xludf.DUMMYFUNCTION("IMPORTRANGE(""https://docs.google.com/spreadsheets/d/1QqKyyYR6Q21VydFLVH3TRQUabQu_ym0Zz7PgGX0-kHA/edit?usp=sharing"",""แผน!FY79"")"),90)</f>
        <v>90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IFERROR(__xludf.DUMMYFUNCTION("IMPORTRANGE(""https://docs.google.com/spreadsheets/d/1QqKyyYR6Q21VydFLVH3TRQUabQu_ym0Zz7PgGX0-kHA/edit?usp=sharing"",""แผน!GA79"")"),10)</f>
        <v>10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3">J516</f>
        <v>0</v>
      </c>
      <c r="K500" s="628">
        <f t="shared" ref="K500:K501" si="214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3"/>
        <v>0</v>
      </c>
      <c r="K501" s="637">
        <f t="shared" si="214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5">L503+L504</f>
        <v>0</v>
      </c>
      <c r="M502" s="641">
        <f t="shared" si="215"/>
        <v>0</v>
      </c>
      <c r="N502" s="641">
        <f t="shared" si="215"/>
        <v>0</v>
      </c>
      <c r="O502" s="641">
        <f t="shared" ref="O502:O507" si="216">IF(L502&gt;0,N502*100/L502,0)</f>
        <v>0</v>
      </c>
      <c r="P502" s="641">
        <f t="shared" ref="P502:P507" si="217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3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4">I537</f>
        <v>0</v>
      </c>
      <c r="J522" s="700">
        <f t="shared" ca="1" si="224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IFERROR(__xludf.DUMMYFUNCTION("IMPORTRANGE(""https://docs.google.com/spreadsheets/d/1QqKyyYR6Q21VydFLVH3TRQUabQu_ym0Zz7PgGX0-kHA/edit?usp=sharing"",""แผน!GU79"")"),0)</f>
        <v>0</v>
      </c>
      <c r="J537" s="675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IFERROR(__xludf.DUMMYFUNCTION("IMPORTRANGE(""https://docs.google.com/spreadsheets/d/1QqKyyYR6Q21VydFLVH3TRQUabQu_ym0Zz7PgGX0-kHA/edit?usp=sharing"",""แผน!GV79"")"),0)</f>
        <v>0</v>
      </c>
      <c r="J538" s="214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IFERROR(__xludf.DUMMYFUNCTION("IMPORTRANGE(""https://docs.google.com/spreadsheets/d/1QqKyyYR6Q21VydFLVH3TRQUabQu_ym0Zz7PgGX0-kHA/edit?usp=sharing"",""แผน!GW79"")"),0)</f>
        <v>0</v>
      </c>
      <c r="J539" s="214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IFERROR(__xludf.DUMMYFUNCTION("IMPORTRANGE(""https://docs.google.com/spreadsheets/d/1QqKyyYR6Q21VydFLVH3TRQUabQu_ym0Zz7PgGX0-kHA/edit?usp=sharing"",""แผน!GX79"")"),0)</f>
        <v>0</v>
      </c>
      <c r="J540" s="214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IFERROR(__xludf.DUMMYFUNCTION("IMPORTRANGE(""https://docs.google.com/spreadsheets/d/1QqKyyYR6Q21VydFLVH3TRQUabQu_ym0Zz7PgGX0-kHA/edit?usp=sharing"",""แผน!GY79"")"),0)</f>
        <v>0</v>
      </c>
      <c r="J541" s="214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IFERROR(__xludf.DUMMYFUNCTION("IMPORTRANGE(""https://docs.google.com/spreadsheets/d/1QqKyyYR6Q21VydFLVH3TRQUabQu_ym0Zz7PgGX0-kHA/edit?usp=sharing"",""แผน!GZ79"")"),0)</f>
        <v>0</v>
      </c>
      <c r="J542" s="214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4">I559</f>
        <v>5970</v>
      </c>
      <c r="J543" s="681">
        <f t="shared" si="234"/>
        <v>0</v>
      </c>
      <c r="K543" s="682">
        <f t="shared" ca="1" si="233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5">L545+L546</f>
        <v>222746</v>
      </c>
      <c r="M544" s="155">
        <f t="shared" si="235"/>
        <v>0</v>
      </c>
      <c r="N544" s="155">
        <f t="shared" si="235"/>
        <v>45816</v>
      </c>
      <c r="O544" s="155">
        <f t="shared" ref="O544:O549" ca="1" si="236">IF(L544&gt;0,N544*100/L544,0)</f>
        <v>20.568719528072332</v>
      </c>
      <c r="P544" s="155">
        <f t="shared" ref="P544:P549" si="237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8"/>
        <v>222746</v>
      </c>
      <c r="M546" s="93">
        <f t="shared" si="239"/>
        <v>0</v>
      </c>
      <c r="N546" s="93">
        <f t="shared" si="239"/>
        <v>45816</v>
      </c>
      <c r="O546" s="93">
        <f t="shared" ca="1" si="236"/>
        <v>20.568719528072332</v>
      </c>
      <c r="P546" s="93">
        <f t="shared" si="237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222746</v>
      </c>
      <c r="M547" s="497">
        <f t="shared" si="240"/>
        <v>0</v>
      </c>
      <c r="N547" s="497">
        <f t="shared" si="240"/>
        <v>45816</v>
      </c>
      <c r="O547" s="497">
        <f t="shared" ca="1" si="236"/>
        <v>20.568719528072332</v>
      </c>
      <c r="P547" s="497">
        <f t="shared" si="237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IFERROR(__xludf.DUMMYFUNCTION("IMPORTRANGE(""https://docs.google.com/spreadsheets/d/1QqKyyYR6Q21VydFLVH3TRQUabQu_ym0Zz7PgGX0-kHA/edit?usp=sharing"",""แผน!HB79"")"),222746)</f>
        <v>222746</v>
      </c>
      <c r="M549" s="93">
        <v>0</v>
      </c>
      <c r="N549" s="93">
        <f>N550+N551+N552+N553+N554</f>
        <v>45816</v>
      </c>
      <c r="O549" s="93">
        <f t="shared" ca="1" si="236"/>
        <v>20.568719528072332</v>
      </c>
      <c r="P549" s="93">
        <f t="shared" si="237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45816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4">I576</f>
        <v>5970</v>
      </c>
      <c r="J559" s="700">
        <f t="shared" si="244"/>
        <v>0</v>
      </c>
      <c r="K559" s="671">
        <f t="shared" ref="K559:K561" ca="1" si="245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2646</v>
      </c>
      <c r="K560" s="411">
        <f t="shared" ca="1" si="245"/>
        <v>44.321608040201006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522</v>
      </c>
      <c r="K561" s="411">
        <f t="shared" ca="1" si="245"/>
        <v>54.093264248704664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2358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470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288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52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75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75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75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75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1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2">I593</f>
        <v>0</v>
      </c>
      <c r="J592" s="700">
        <f t="shared" si="252"/>
        <v>0</v>
      </c>
      <c r="K592" s="671">
        <f t="shared" ref="K592:K594" ca="1" si="253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 hidden="1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IFERROR(__xludf.DUMMYFUNCTION("IMPORTRANGE(""https://docs.google.com/spreadsheets/d/1QqKyyYR6Q21VydFLVH3TRQUabQu_ym0Zz7PgGX0-kHA/edit?usp=sharing"",""แผน!HJ79"")"),0)</f>
        <v>0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 hidden="1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IFERROR(__xludf.DUMMYFUNCTION("IMPORTRANGE(""https://docs.google.com/spreadsheets/d/1QqKyyYR6Q21VydFLVH3TRQUabQu_ym0Zz7PgGX0-kHA/edit?usp=sharing"",""แผน!HI79"")"),0)</f>
        <v>0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 hidden="1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 hidden="1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 hidden="1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 hidden="1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 hidden="1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 hidden="1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 hidden="1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 hidden="1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 hidden="1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 hidden="1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 hidden="1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 hidden="1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 hidden="1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 hidden="1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 hidden="1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 hidden="1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7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8">J614+J616</f>
        <v>0</v>
      </c>
      <c r="K612" s="709">
        <f t="shared" si="257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8"/>
        <v>0</v>
      </c>
      <c r="K613" s="709">
        <f t="shared" si="257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IFERROR(__xludf.DUMMYFUNCTION("IMPORTRANGE(""https://docs.google.com/spreadsheets/d/1QqKyyYR6Q21VydFLVH3TRQUabQu_ym0Zz7PgGX0-kHA/edit?usp=sharing"",""แผน!HL79"")"),0)</f>
        <v>0</v>
      </c>
      <c r="J620" s="720">
        <f t="shared" ref="J620:J621" si="259">J622+J624+J626</f>
        <v>0</v>
      </c>
      <c r="K620" s="721">
        <f t="shared" ref="K620:K621" ca="1" si="260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IFERROR(__xludf.DUMMYFUNCTION("IMPORTRANGE(""https://docs.google.com/spreadsheets/d/1QqKyyYR6Q21VydFLVH3TRQUabQu_ym0Zz7PgGX0-kHA/edit?usp=sharing"",""แผน!HK79"")"),0)</f>
        <v>0</v>
      </c>
      <c r="J621" s="720">
        <f t="shared" si="259"/>
        <v>0</v>
      </c>
      <c r="K621" s="721">
        <f t="shared" ca="1" si="260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1">I651</f>
        <v>7</v>
      </c>
      <c r="J628" s="733">
        <f t="shared" ca="1" si="261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2">L630+L631</f>
        <v>167365</v>
      </c>
      <c r="M629" s="195">
        <f t="shared" si="262"/>
        <v>0</v>
      </c>
      <c r="N629" s="195">
        <f t="shared" si="262"/>
        <v>30960</v>
      </c>
      <c r="O629" s="195">
        <f t="shared" ref="O629:O634" ca="1" si="263">IF(L629&gt;0,N629*100/L629,0)</f>
        <v>18.498491321363488</v>
      </c>
      <c r="P629" s="195">
        <f t="shared" ref="P629:P634" si="264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5"/>
        <v>167365</v>
      </c>
      <c r="M631" s="93">
        <f t="shared" si="265"/>
        <v>0</v>
      </c>
      <c r="N631" s="93">
        <f t="shared" si="265"/>
        <v>30960</v>
      </c>
      <c r="O631" s="93">
        <f t="shared" ca="1" si="263"/>
        <v>18.498491321363488</v>
      </c>
      <c r="P631" s="93">
        <f t="shared" si="264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167365</v>
      </c>
      <c r="M632" s="497">
        <f t="shared" si="266"/>
        <v>0</v>
      </c>
      <c r="N632" s="497">
        <f t="shared" si="266"/>
        <v>30960</v>
      </c>
      <c r="O632" s="497">
        <f t="shared" ca="1" si="263"/>
        <v>18.498491321363488</v>
      </c>
      <c r="P632" s="497">
        <f t="shared" si="264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v>0</v>
      </c>
      <c r="N634" s="93">
        <f>N635+N636+N637+N638</f>
        <v>30960</v>
      </c>
      <c r="O634" s="93">
        <f t="shared" ca="1" si="263"/>
        <v>18.498491321363488</v>
      </c>
      <c r="P634" s="93">
        <f t="shared" si="264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30960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IFERROR(__xludf.DUMMYFUNCTION("IMPORTRANGE(""https://docs.google.com/spreadsheets/d/1QqKyyYR6Q21VydFLVH3TRQUabQu_ym0Zz7PgGX0-kHA/edit?usp=sharing"",""แผน!HR79"")"),0)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IFERROR(__xludf.DUMMYFUNCTION("IMPORTRANGE(""https://docs.google.com/spreadsheets/d/1QqKyyYR6Q21VydFLVH3TRQUabQu_ym0Zz7PgGX0-kHA/edit?usp=sharing"",""แผน!HR79"")"),0)</f>
        <v>0</v>
      </c>
      <c r="J644" s="214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IFERROR(__xludf.DUMMYFUNCTION("IMPORTRANGE(""https://docs.google.com/spreadsheets/d/1XWAQStnk-4SwqDmLtmXYiTMKHgktTP8We1SCoS47DrQ/edit?usp=sharing"",""จัดที่ดิน!AS79"")"),5)</f>
        <v>5</v>
      </c>
      <c r="K645" s="163">
        <f t="shared" si="270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IFERROR(__xludf.DUMMYFUNCTION("IMPORTRANGE(""https://docs.google.com/spreadsheets/d/1XWAQStnk-4SwqDmLtmXYiTMKHgktTP8We1SCoS47DrQ/edit?usp=sharing"",""จัดที่ดิน!AT79"")"),1.31)</f>
        <v>1.31</v>
      </c>
      <c r="K646" s="497">
        <f t="shared" si="270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IFERROR(__xludf.DUMMYFUNCTION("IMPORTRANGE(""https://docs.google.com/spreadsheets/d/1QqKyyYR6Q21VydFLVH3TRQUabQu_ym0Zz7PgGX0-kHA/edit?usp=sharing"",""แผน!HS79"")"),7)</f>
        <v>7</v>
      </c>
      <c r="J647" s="269">
        <f ca="1">IFERROR(__xludf.DUMMYFUNCTION("IMPORTRANGE(""https://docs.google.com/spreadsheets/d/1XWAQStnk-4SwqDmLtmXYiTMKHgktTP8We1SCoS47DrQ/edit?usp=sharing"",""จัดที่ดิน!AU79"")"),0)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IFERROR(__xludf.DUMMYFUNCTION("IMPORTRANGE(""https://docs.google.com/spreadsheets/d/1XWAQStnk-4SwqDmLtmXYiTMKHgktTP8We1SCoS47DrQ/edit?usp=sharing"",""จัดที่ดิน!AV79"")"),0)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IFERROR(__xludf.DUMMYFUNCTION("IMPORTRANGE(""https://docs.google.com/spreadsheets/d/1QqKyyYR6Q21VydFLVH3TRQUabQu_ym0Zz7PgGX0-kHA/edit?usp=sharing"",""แผน!HS79"")"),7)</f>
        <v>7</v>
      </c>
      <c r="J649" s="269">
        <f ca="1">IFERROR(__xludf.DUMMYFUNCTION("IMPORTRANGE(""https://docs.google.com/spreadsheets/d/1XWAQStnk-4SwqDmLtmXYiTMKHgktTP8We1SCoS47DrQ/edit?usp=sharing"",""จัดที่ดิน!AW79"")"),0)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IFERROR(__xludf.DUMMYFUNCTION("IMPORTRANGE(""https://docs.google.com/spreadsheets/d/1XWAQStnk-4SwqDmLtmXYiTMKHgktTP8We1SCoS47DrQ/edit?usp=sharing"",""จัดที่ดิน!AX79"")"),0)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IFERROR(__xludf.DUMMYFUNCTION("IMPORTRANGE(""https://docs.google.com/spreadsheets/d/1QqKyyYR6Q21VydFLVH3TRQUabQu_ym0Zz7PgGX0-kHA/edit?usp=sharing"",""แผน!HS79"")"),7)</f>
        <v>7</v>
      </c>
      <c r="J651" s="269">
        <f ca="1">IFERROR(__xludf.DUMMYFUNCTION("IMPORTRANGE(""https://docs.google.com/spreadsheets/d/1XWAQStnk-4SwqDmLtmXYiTMKHgktTP8We1SCoS47DrQ/edit?usp=sharing"",""จัดที่ดิน!AY79"")"),0)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IFERROR(__xludf.DUMMYFUNCTION("IMPORTRANGE(""https://docs.google.com/spreadsheets/d/1XWAQStnk-4SwqDmLtmXYiTMKHgktTP8We1SCoS47DrQ/edit?usp=sharing"",""จัดที่ดิน!AZ79"")"),0)</f>
        <v>0</v>
      </c>
      <c r="K652" s="501">
        <f t="shared" si="270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1">I669</f>
        <v>50</v>
      </c>
      <c r="J654" s="700">
        <f t="shared" si="271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2">L656+L657</f>
        <v>11000</v>
      </c>
      <c r="M655" s="195">
        <f t="shared" si="272"/>
        <v>0</v>
      </c>
      <c r="N655" s="195">
        <f t="shared" si="272"/>
        <v>8000</v>
      </c>
      <c r="O655" s="195">
        <f t="shared" ref="O655:O660" ca="1" si="273">IF(L655&gt;0,N655*100/L655,0)</f>
        <v>72.727272727272734</v>
      </c>
      <c r="P655" s="195">
        <f t="shared" ref="P655:P660" si="274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5"/>
        <v>11000</v>
      </c>
      <c r="M657" s="93">
        <f t="shared" si="275"/>
        <v>0</v>
      </c>
      <c r="N657" s="93">
        <f t="shared" si="275"/>
        <v>8000</v>
      </c>
      <c r="O657" s="93">
        <f t="shared" ca="1" si="273"/>
        <v>72.727272727272734</v>
      </c>
      <c r="P657" s="93">
        <f t="shared" si="274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11000</v>
      </c>
      <c r="M658" s="497">
        <f t="shared" si="276"/>
        <v>0</v>
      </c>
      <c r="N658" s="497">
        <f t="shared" si="276"/>
        <v>8000</v>
      </c>
      <c r="O658" s="497">
        <f t="shared" ca="1" si="273"/>
        <v>72.727272727272734</v>
      </c>
      <c r="P658" s="497">
        <f t="shared" si="274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v>0</v>
      </c>
      <c r="N660" s="93">
        <f>N661+N662+N663+N664</f>
        <v>8000</v>
      </c>
      <c r="O660" s="93">
        <f t="shared" ca="1" si="273"/>
        <v>72.727272727272734</v>
      </c>
      <c r="P660" s="93">
        <f t="shared" si="274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8000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IFERROR(__xludf.DUMMYFUNCTION("IMPORTRANGE(""https://docs.google.com/spreadsheets/d/1QqKyyYR6Q21VydFLVH3TRQUabQu_ym0Zz7PgGX0-kHA/edit?usp=sharing"",""แผน!IA79"")"),50)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IFERROR(__xludf.DUMMYFUNCTION("IMPORTRANGE(""https://docs.google.com/spreadsheets/d/1QqKyyYR6Q21VydFLVH3TRQUabQu_ym0Zz7PgGX0-kHA/edit?usp=sharing"",""แผน!HZ79"")"),5)</f>
        <v>5</v>
      </c>
      <c r="J670" s="214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IFERROR(__xludf.DUMMYFUNCTION("IMPORTRANGE(""https://docs.google.com/spreadsheets/d/1QqKyyYR6Q21VydFLVH3TRQUabQu_ym0Zz7PgGX0-kHA/edit?usp=sharing"",""แผน!HZ79"")"),5)</f>
        <v>5</v>
      </c>
      <c r="J671" s="214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13</v>
      </c>
      <c r="K672" s="497">
        <f t="shared" ref="K672:K675" ca="1" si="280">IF(I$669&gt;0,J672*100/I$669,0)</f>
        <v>26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IFERROR(__xludf.DUMMYFUNCTION("IMPORTRANGE(""https://docs.google.com/spreadsheets/d/1QqKyyYR6Q21VydFLVH3TRQUabQu_ym0Zz7PgGX0-kHA/edit?usp=sharing"",""แผน!IB79"")"),0)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1">L686+L687</f>
        <v>37480</v>
      </c>
      <c r="M685" s="195">
        <f t="shared" si="281"/>
        <v>0</v>
      </c>
      <c r="N685" s="195">
        <f t="shared" si="281"/>
        <v>1000</v>
      </c>
      <c r="O685" s="195">
        <f t="shared" ref="O685:O688" ca="1" si="282">IF(L685&gt;0,N685*100/L685,0)</f>
        <v>2.6680896478121663</v>
      </c>
      <c r="P685" s="195">
        <f t="shared" ref="P685:P688" si="283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4"/>
        <v>37480</v>
      </c>
      <c r="M687" s="93">
        <f t="shared" si="284"/>
        <v>0</v>
      </c>
      <c r="N687" s="93">
        <f t="shared" si="284"/>
        <v>1000</v>
      </c>
      <c r="O687" s="93">
        <f t="shared" ca="1" si="282"/>
        <v>2.6680896478121663</v>
      </c>
      <c r="P687" s="93">
        <f t="shared" si="283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37480</v>
      </c>
      <c r="M688" s="497">
        <f t="shared" si="285"/>
        <v>0</v>
      </c>
      <c r="N688" s="497">
        <f t="shared" si="285"/>
        <v>1000</v>
      </c>
      <c r="O688" s="497">
        <f t="shared" ca="1" si="282"/>
        <v>2.6680896478121663</v>
      </c>
      <c r="P688" s="497">
        <f t="shared" si="283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v>0</v>
      </c>
      <c r="N690" s="93">
        <f>N691+N692+N693+N694</f>
        <v>1000</v>
      </c>
      <c r="O690" s="93">
        <f ca="1">IF(L690&gt;0,N690*100/L690,0)</f>
        <v>2.6680896478121663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1000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IFERROR(__xludf.DUMMYFUNCTION("IMPORTRANGE(""https://docs.google.com/spreadsheets/d/1QqKyyYR6Q21VydFLVH3TRQUabQu_ym0Zz7PgGX0-kHA/edit?usp=sharing"",""แผน!IC79"")"),248)</f>
        <v>248</v>
      </c>
      <c r="J699" s="269">
        <f ca="1">IFERROR(__xludf.DUMMYFUNCTION("IMPORTRANGE(""https://docs.google.com/spreadsheets/d/1XWAQStnk-4SwqDmLtmXYiTMKHgktTP8We1SCoS47DrQ/edit?usp=sharing"",""จัดที่ดิน!BB79"")"),0)</f>
        <v>0</v>
      </c>
      <c r="K699" s="497">
        <f t="shared" ref="K699:K701" ca="1" si="289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IFERROR(__xludf.DUMMYFUNCTION("IMPORTRANGE(""https://docs.google.com/spreadsheets/d/1QqKyyYR6Q21VydFLVH3TRQUabQu_ym0Zz7PgGX0-kHA/edit?usp=sharing"",""แผน!ID79"")"),56)</f>
        <v>56</v>
      </c>
      <c r="J700" s="269">
        <f ca="1">IFERROR(__xludf.DUMMYFUNCTION("IMPORTRANGE(""https://docs.google.com/spreadsheets/d/1XWAQStnk-4SwqDmLtmXYiTMKHgktTP8We1SCoS47DrQ/edit?usp=sharing"",""จัดที่ดิน!BD79"")"),0)</f>
        <v>0</v>
      </c>
      <c r="K700" s="497">
        <f t="shared" ca="1" si="289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IFERROR(__xludf.DUMMYFUNCTION("IMPORTRANGE(""https://docs.google.com/spreadsheets/d/1QqKyyYR6Q21VydFLVH3TRQUabQu_ym0Zz7PgGX0-kHA/edit?usp=sharing"",""แผน!IE79"")"),0)</f>
        <v>0</v>
      </c>
      <c r="J701" s="675">
        <f>J704+J707</f>
        <v>0</v>
      </c>
      <c r="K701" s="195">
        <f t="shared" ca="1" si="289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IFERROR(__xludf.DUMMYFUNCTION("IMPORTRANGE(""https://docs.google.com/spreadsheets/d/1QqKyyYR6Q21VydFLVH3TRQUabQu_ym0Zz7PgGX0-kHA/edit?usp=sharing"",""แผน!IF79"")"),0)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IFERROR(__xludf.DUMMYFUNCTION("IMPORTRANGE(""https://docs.google.com/spreadsheets/d/1QqKyyYR6Q21VydFLVH3TRQUabQu_ym0Zz7PgGX0-kHA/edit?usp=sharing"",""แผน!IG79"")"),0)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IFERROR(__xludf.DUMMYFUNCTION("IMPORTRANGE(""https://docs.google.com/spreadsheets/d/1QqKyyYR6Q21VydFLVH3TRQUabQu_ym0Zz7PgGX0-kHA/edit?usp=sharing"",""แผน!IH79"")"),0)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IFERROR(__xludf.DUMMYFUNCTION("IMPORTRANGE(""https://docs.google.com/spreadsheets/d/1XWAQStnk-4SwqDmLtmXYiTMKHgktTP8We1SCoS47DrQ/edit?usp=sharing"",""จัดที่ดิน!BF79"")"),0)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IFERROR(__xludf.DUMMYFUNCTION("IMPORTRANGE(""https://docs.google.com/spreadsheets/d/1XWAQStnk-4SwqDmLtmXYiTMKHgktTP8We1SCoS47DrQ/edit?usp=sharing"",""จัดที่ดิน!BG79"")"),0)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IFERROR(__xludf.DUMMYFUNCTION("IMPORTRANGE(""https://docs.google.com/spreadsheets/d/1QqKyyYR6Q21VydFLVH3TRQUabQu_ym0Zz7PgGX0-kHA/edit?usp=sharing"",""แผน!II79"")"),0)</f>
        <v>0</v>
      </c>
      <c r="J720" s="269">
        <f ca="1">IFERROR(__xludf.DUMMYFUNCTION("IMPORTRANGE(""https://docs.google.com/spreadsheets/d/1XWAQStnk-4SwqDmLtmXYiTMKHgktTP8We1SCoS47DrQ/edit?usp=sharing"",""จัดที่ดิน!BH79"")"),0)</f>
        <v>0</v>
      </c>
      <c r="K720" s="497">
        <f t="shared" ref="K720:K723" ca="1" si="290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IFERROR(__xludf.DUMMYFUNCTION("IMPORTRANGE(""https://docs.google.com/spreadsheets/d/1QqKyyYR6Q21VydFLVH3TRQUabQu_ym0Zz7PgGX0-kHA/edit?usp=sharing"",""แผน!IJ79"")"),0)</f>
        <v>0</v>
      </c>
      <c r="J721" s="675">
        <f ca="1">J723+J726</f>
        <v>0</v>
      </c>
      <c r="K721" s="195">
        <f t="shared" ca="1" si="290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IFERROR(__xludf.DUMMYFUNCTION("IMPORTRANGE(""https://docs.google.com/spreadsheets/d/1QqKyyYR6Q21VydFLVH3TRQUabQu_ym0Zz7PgGX0-kHA/edit?usp=sharing"",""แผน!IK79"")"),0)</f>
        <v>0</v>
      </c>
      <c r="J722" s="675">
        <f ca="1">J725+J728</f>
        <v>0</v>
      </c>
      <c r="K722" s="195">
        <f t="shared" ca="1" si="290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IFERROR(__xludf.DUMMYFUNCTION("IMPORTRANGE(""https://docs.google.com/spreadsheets/d/1QqKyyYR6Q21VydFLVH3TRQUabQu_ym0Zz7PgGX0-kHA/edit?usp=sharing"",""แผน!IL79"")"),0)</f>
        <v>0</v>
      </c>
      <c r="J723" s="269">
        <f ca="1">IFERROR(__xludf.DUMMYFUNCTION("IMPORTRANGE(""https://docs.google.com/spreadsheets/d/1XWAQStnk-4SwqDmLtmXYiTMKHgktTP8We1SCoS47DrQ/edit?usp=sharing"",""จัดที่ดิน!BM79"")"),0)</f>
        <v>0</v>
      </c>
      <c r="K723" s="497">
        <f t="shared" ca="1" si="290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IFERROR(__xludf.DUMMYFUNCTION("IMPORTRANGE(""https://docs.google.com/spreadsheets/d/1XWAQStnk-4SwqDmLtmXYiTMKHgktTP8We1SCoS47DrQ/edit?usp=sharing"",""จัดที่ดิน!BN79"")"),0)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IFERROR(__xludf.DUMMYFUNCTION("IMPORTRANGE(""https://docs.google.com/spreadsheets/d/1QqKyyYR6Q21VydFLVH3TRQUabQu_ym0Zz7PgGX0-kHA/edit?usp=sharing"",""แผน!IM79"")"),0)</f>
        <v>0</v>
      </c>
      <c r="J725" s="269">
        <f ca="1">IFERROR(__xludf.DUMMYFUNCTION("IMPORTRANGE(""https://docs.google.com/spreadsheets/d/1XWAQStnk-4SwqDmLtmXYiTMKHgktTP8We1SCoS47DrQ/edit?usp=sharing"",""จัดที่ดิน!BO79"")"),0)</f>
        <v>0</v>
      </c>
      <c r="K725" s="497">
        <f t="shared" ref="K725:K726" ca="1" si="291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IFERROR(__xludf.DUMMYFUNCTION("IMPORTRANGE(""https://docs.google.com/spreadsheets/d/1QqKyyYR6Q21VydFLVH3TRQUabQu_ym0Zz7PgGX0-kHA/edit?usp=sharing"",""แผน!IN79"")"),0)</f>
        <v>0</v>
      </c>
      <c r="J726" s="269">
        <f ca="1">IFERROR(__xludf.DUMMYFUNCTION("IMPORTRANGE(""https://docs.google.com/spreadsheets/d/1XWAQStnk-4SwqDmLtmXYiTMKHgktTP8We1SCoS47DrQ/edit?usp=sharing"",""จัดที่ดิน!BR79"")"),0)</f>
        <v>0</v>
      </c>
      <c r="K726" s="497">
        <f t="shared" ca="1" si="291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IFERROR(__xludf.DUMMYFUNCTION("IMPORTRANGE(""https://docs.google.com/spreadsheets/d/1XWAQStnk-4SwqDmLtmXYiTMKHgktTP8We1SCoS47DrQ/edit?usp=sharing"",""จัดที่ดิน!BS79"")"),0)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IFERROR(__xludf.DUMMYFUNCTION("IMPORTRANGE(""https://docs.google.com/spreadsheets/d/1QqKyyYR6Q21VydFLVH3TRQUabQu_ym0Zz7PgGX0-kHA/edit?usp=sharing"",""แผน!IO79"")"),0)</f>
        <v>0</v>
      </c>
      <c r="J728" s="269">
        <f ca="1">IFERROR(__xludf.DUMMYFUNCTION("IMPORTRANGE(""https://docs.google.com/spreadsheets/d/1XWAQStnk-4SwqDmLtmXYiTMKHgktTP8We1SCoS47DrQ/edit?usp=sharing"",""จัดที่ดิน!BT79"")"),0)</f>
        <v>0</v>
      </c>
      <c r="K728" s="497">
        <f t="shared" ref="K728:K729" ca="1" si="292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IFERROR(__xludf.DUMMYFUNCTION("IMPORTRANGE(""https://docs.google.com/spreadsheets/d/1QqKyyYR6Q21VydFLVH3TRQUabQu_ym0Zz7PgGX0-kHA/edit?usp=sharing"",""แผน!IP79"")"),0)</f>
        <v>0</v>
      </c>
      <c r="J729" s="675">
        <f>J732+J735</f>
        <v>0</v>
      </c>
      <c r="K729" s="195">
        <f t="shared" ca="1" si="292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3">L738+L739</f>
        <v>0</v>
      </c>
      <c r="M737" s="641">
        <f t="shared" si="293"/>
        <v>0</v>
      </c>
      <c r="N737" s="641">
        <f t="shared" si="293"/>
        <v>0</v>
      </c>
      <c r="O737" s="641">
        <f t="shared" ref="O737:O742" si="294">IF(L737&gt;0,N737*100/L737,0)</f>
        <v>0</v>
      </c>
      <c r="P737" s="641">
        <f t="shared" ref="P737:P742" si="29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7">L741+L742</f>
        <v>0</v>
      </c>
      <c r="M740" s="641">
        <f t="shared" si="297"/>
        <v>0</v>
      </c>
      <c r="N740" s="641">
        <f t="shared" si="297"/>
        <v>0</v>
      </c>
      <c r="O740" s="641">
        <f t="shared" si="294"/>
        <v>0</v>
      </c>
      <c r="P740" s="641">
        <f t="shared" si="29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8">L748+L749</f>
        <v>0</v>
      </c>
      <c r="M747" s="641">
        <f t="shared" si="298"/>
        <v>0</v>
      </c>
      <c r="N747" s="641">
        <f t="shared" si="298"/>
        <v>0</v>
      </c>
      <c r="O747" s="641">
        <f t="shared" ref="O747:O749" si="299">IF(L747&gt;0,N747*100/L747,0)</f>
        <v>0</v>
      </c>
      <c r="P747" s="641">
        <f t="shared" ref="P747:P749" si="300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1">L755+L756</f>
        <v>0</v>
      </c>
      <c r="M754" s="641">
        <f t="shared" si="301"/>
        <v>0</v>
      </c>
      <c r="N754" s="641">
        <f t="shared" si="301"/>
        <v>0</v>
      </c>
      <c r="O754" s="641">
        <f t="shared" ref="O754:O759" si="302">IF(L754&gt;0,N754*100/L754,0)</f>
        <v>0</v>
      </c>
      <c r="P754" s="641">
        <f t="shared" ref="P754:P759" si="303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5">L758+L759</f>
        <v>0</v>
      </c>
      <c r="M757" s="641">
        <f t="shared" si="305"/>
        <v>0</v>
      </c>
      <c r="N757" s="641">
        <f t="shared" si="305"/>
        <v>0</v>
      </c>
      <c r="O757" s="641">
        <f t="shared" si="302"/>
        <v>0</v>
      </c>
      <c r="P757" s="641">
        <f t="shared" si="303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6">L765+L766</f>
        <v>0</v>
      </c>
      <c r="M764" s="641">
        <f t="shared" si="306"/>
        <v>0</v>
      </c>
      <c r="N764" s="641">
        <f t="shared" si="306"/>
        <v>0</v>
      </c>
      <c r="O764" s="641">
        <f t="shared" ref="O764:O766" si="307">IF(L764&gt;0,N764*100/L764,0)</f>
        <v>0</v>
      </c>
      <c r="P764" s="641">
        <f t="shared" ref="P764:P766" si="308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09">L771+L772</f>
        <v>0</v>
      </c>
      <c r="M770" s="641">
        <f t="shared" si="309"/>
        <v>0</v>
      </c>
      <c r="N770" s="641">
        <f t="shared" si="309"/>
        <v>0</v>
      </c>
      <c r="O770" s="641">
        <f t="shared" ref="O770:O775" si="310">IF(L770&gt;0,N770*100/L770,0)</f>
        <v>0</v>
      </c>
      <c r="P770" s="641">
        <f t="shared" ref="P770:P775" si="311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3">L774+L775</f>
        <v>0</v>
      </c>
      <c r="M773" s="641">
        <f t="shared" si="313"/>
        <v>0</v>
      </c>
      <c r="N773" s="641">
        <f t="shared" si="313"/>
        <v>0</v>
      </c>
      <c r="O773" s="641">
        <f t="shared" si="310"/>
        <v>0</v>
      </c>
      <c r="P773" s="641">
        <f t="shared" si="311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4">L781+L782</f>
        <v>0</v>
      </c>
      <c r="M780" s="641">
        <f t="shared" si="314"/>
        <v>0</v>
      </c>
      <c r="N780" s="641">
        <f t="shared" si="314"/>
        <v>0</v>
      </c>
      <c r="O780" s="641">
        <f t="shared" ref="O780:O782" si="315">IF(L780&gt;0,N780*100/L780,0)</f>
        <v>0</v>
      </c>
      <c r="P780" s="641">
        <f t="shared" ref="P780:P782" si="316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7">I800</f>
        <v>0</v>
      </c>
      <c r="J785" s="800">
        <f t="shared" ca="1" si="317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IFERROR(__xludf.DUMMYFUNCTION("IMPORTRANGE(""https://docs.google.com/spreadsheets/d/1MaWodYyGHDf7siQLGxnXhG4mBNTNIuy296niS2xXulU/edit?usp=sharing"",""RTK!I79"")"),0)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6">L806+L807</f>
        <v>0</v>
      </c>
      <c r="M805" s="641">
        <f t="shared" si="326"/>
        <v>0</v>
      </c>
      <c r="N805" s="641">
        <f t="shared" si="326"/>
        <v>0</v>
      </c>
      <c r="O805" s="641">
        <f t="shared" ref="O805:O810" si="327">IF(L805&gt;0,N805*100/L805,0)</f>
        <v>0</v>
      </c>
      <c r="P805" s="641">
        <f t="shared" ref="P805:P810" si="328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0">L809+L810</f>
        <v>0</v>
      </c>
      <c r="M808" s="641">
        <f t="shared" si="330"/>
        <v>0</v>
      </c>
      <c r="N808" s="641">
        <f t="shared" si="330"/>
        <v>0</v>
      </c>
      <c r="O808" s="641">
        <f t="shared" si="327"/>
        <v>0</v>
      </c>
      <c r="P808" s="641">
        <f t="shared" si="328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1">L816+L817</f>
        <v>0</v>
      </c>
      <c r="M815" s="641">
        <f t="shared" si="331"/>
        <v>0</v>
      </c>
      <c r="N815" s="641">
        <f t="shared" si="331"/>
        <v>0</v>
      </c>
      <c r="O815" s="641">
        <f t="shared" ref="O815:O817" si="332">IF(L815&gt;0,N815*100/L815,0)</f>
        <v>0</v>
      </c>
      <c r="P815" s="641">
        <f t="shared" ref="P815:P817" si="333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341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69">
        <f ca="1">IFERROR(__xludf.DUMMYFUNCTION("IMPORTRANGE(""https://docs.google.com/spreadsheets/d/19vJNZY_5yjcGF2XGBMNZRCAIB0Kwfpjp8YEOfu-bneM/edit?usp=sharing"",""งานกองทุน!F79"")"),0)</f>
        <v>0</v>
      </c>
      <c r="K821" s="497">
        <f t="shared" ref="K821:K828" ca="1" si="334">IF(I821&gt;0,J821*100/I821,0)</f>
        <v>0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IFERROR(__xludf.DUMMYFUNCTION("IMPORTRANGE(""https://docs.google.com/spreadsheets/d/19vJNZY_5yjcGF2XGBMNZRCAIB0Kwfpjp8YEOfu-bneM/edit?usp=sharing"",""งานกองทุน!C79"")"),29)</f>
        <v>29</v>
      </c>
      <c r="J822" s="269">
        <f ca="1">IFERROR(__xludf.DUMMYFUNCTION("IMPORTRANGE(""https://docs.google.com/spreadsheets/d/19vJNZY_5yjcGF2XGBMNZRCAIB0Kwfpjp8YEOfu-bneM/edit?usp=sharing"",""งานกองทุน!E79"")"),0)</f>
        <v>0</v>
      </c>
      <c r="K822" s="497">
        <f t="shared" ca="1" si="334"/>
        <v>0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69">
        <f ca="1">IFERROR(__xludf.DUMMYFUNCTION("IMPORTRANGE(""https://docs.google.com/spreadsheets/d/19vJNZY_5yjcGF2XGBMNZRCAIB0Kwfpjp8YEOfu-bneM/edit?usp=sharing"",""งานกองทุน!K79"")"),5920.59)</f>
        <v>5920.59</v>
      </c>
      <c r="K823" s="497">
        <f t="shared" ca="1" si="334"/>
        <v>2.4260520220747095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IFERROR(__xludf.DUMMYFUNCTION("IMPORTRANGE(""https://docs.google.com/spreadsheets/d/19vJNZY_5yjcGF2XGBMNZRCAIB0Kwfpjp8YEOfu-bneM/edit?usp=sharing"",""งานกองทุน!H79"")"),9)</f>
        <v>9</v>
      </c>
      <c r="J824" s="269">
        <f ca="1">IFERROR(__xludf.DUMMYFUNCTION("IMPORTRANGE(""https://docs.google.com/spreadsheets/d/19vJNZY_5yjcGF2XGBMNZRCAIB0Kwfpjp8YEOfu-bneM/edit?usp=sharing"",""งานกองทุน!J79"")"),5)</f>
        <v>5</v>
      </c>
      <c r="K824" s="497">
        <f t="shared" ca="1" si="334"/>
        <v>55.555555555555557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IFERROR(__xludf.DUMMYFUNCTION("IMPORTRANGE(""https://docs.google.com/spreadsheets/d/19vJNZY_5yjcGF2XGBMNZRCAIB0Kwfpjp8YEOfu-bneM/edit?usp=sharing"",""งานกองทุน!N79"")"),91681.58)</f>
        <v>91681.58</v>
      </c>
      <c r="J825" s="269">
        <f ca="1">IFERROR(__xludf.DUMMYFUNCTION("IMPORTRANGE(""https://docs.google.com/spreadsheets/d/19vJNZY_5yjcGF2XGBMNZRCAIB0Kwfpjp8YEOfu-bneM/edit?usp=sharing"",""งานกองทุน!P79"")"),1825.88)</f>
        <v>1825.88</v>
      </c>
      <c r="K825" s="497">
        <f t="shared" ca="1" si="334"/>
        <v>1.991545084628777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IFERROR(__xludf.DUMMYFUNCTION("IMPORTRANGE(""https://docs.google.com/spreadsheets/d/19vJNZY_5yjcGF2XGBMNZRCAIB0Kwfpjp8YEOfu-bneM/edit?usp=sharing"",""งานกองทุน!M79"")"),172)</f>
        <v>172</v>
      </c>
      <c r="J826" s="269">
        <f ca="1">IFERROR(__xludf.DUMMYFUNCTION("IMPORTRANGE(""https://docs.google.com/spreadsheets/d/19vJNZY_5yjcGF2XGBMNZRCAIB0Kwfpjp8YEOfu-bneM/edit?usp=sharing"",""งานกองทุน!O79"")"),4)</f>
        <v>4</v>
      </c>
      <c r="K826" s="497">
        <f t="shared" ca="1" si="334"/>
        <v>2.3255813953488373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IFERROR(__xludf.DUMMYFUNCTION("IMPORTRANGE(""https://docs.google.com/spreadsheets/d/19vJNZY_5yjcGF2XGBMNZRCAIB0Kwfpjp8YEOfu-bneM/edit?usp=sharing"",""งานกองทุน!S79"")"),330000)</f>
        <v>330000</v>
      </c>
      <c r="J827" s="269">
        <f ca="1">IFERROR(__xludf.DUMMYFUNCTION("IMPORTRANGE(""https://docs.google.com/spreadsheets/d/19vJNZY_5yjcGF2XGBMNZRCAIB0Kwfpjp8YEOfu-bneM/edit?usp=sharing"",""งานกองทุน!U79"")"),0)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IFERROR(__xludf.DUMMYFUNCTION("IMPORTRANGE(""https://docs.google.com/spreadsheets/d/19vJNZY_5yjcGF2XGBMNZRCAIB0Kwfpjp8YEOfu-bneM/edit?usp=sharing"",""งานกองทุน!R79"")"),13)</f>
        <v>13</v>
      </c>
      <c r="J828" s="500">
        <f ca="1">IFERROR(__xludf.DUMMYFUNCTION("IMPORTRANGE(""https://docs.google.com/spreadsheets/d/19vJNZY_5yjcGF2XGBMNZRCAIB0Kwfpjp8YEOfu-bneM/edit?usp=sharing"",""งานกองทุน!T79"")"),0)</f>
        <v>0</v>
      </c>
      <c r="K828" s="501">
        <f t="shared" ca="1" si="334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4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A232E-CB14-4937-86EF-3E57F563E926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342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2917818</v>
      </c>
      <c r="M8" s="22">
        <f t="shared" ca="1" si="0"/>
        <v>1270056</v>
      </c>
      <c r="N8" s="22">
        <f t="shared" ca="1" si="0"/>
        <v>862458.07</v>
      </c>
      <c r="O8" s="22">
        <f t="shared" ref="O8:O16" ca="1" si="1">IF(L8&gt;0,N8*100/L8,0)</f>
        <v>29.558323034541566</v>
      </c>
      <c r="P8" s="22">
        <f t="shared" ref="P8:P16" ca="1" si="2">IF(M8&gt;0,N8*100/M8,0)</f>
        <v>67.907089923593915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2917818</v>
      </c>
      <c r="M10" s="30">
        <f t="shared" ca="1" si="3"/>
        <v>1270056</v>
      </c>
      <c r="N10" s="30">
        <f t="shared" ca="1" si="3"/>
        <v>862458.07</v>
      </c>
      <c r="O10" s="30">
        <f t="shared" ca="1" si="1"/>
        <v>29.558323034541566</v>
      </c>
      <c r="P10" s="30">
        <f t="shared" ca="1" si="2"/>
        <v>67.907089923593915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2841818</v>
      </c>
      <c r="M11" s="497">
        <f t="shared" ca="1" si="4"/>
        <v>1194056</v>
      </c>
      <c r="N11" s="497">
        <f t="shared" ca="1" si="4"/>
        <v>786458.07</v>
      </c>
      <c r="O11" s="497">
        <f t="shared" ca="1" si="1"/>
        <v>27.674470004764554</v>
      </c>
      <c r="P11" s="497">
        <f t="shared" ca="1" si="2"/>
        <v>65.864420931681593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2841818</v>
      </c>
      <c r="M13" s="93">
        <f t="shared" ca="1" si="5"/>
        <v>1194056</v>
      </c>
      <c r="N13" s="93">
        <f t="shared" ca="1" si="5"/>
        <v>786458.07</v>
      </c>
      <c r="O13" s="93">
        <f t="shared" ca="1" si="1"/>
        <v>27.674470004764554</v>
      </c>
      <c r="P13" s="93">
        <f t="shared" ca="1" si="2"/>
        <v>65.864420931681593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1270056</v>
      </c>
      <c r="N18" s="22">
        <f t="shared" ca="1" si="8"/>
        <v>768445.07</v>
      </c>
      <c r="O18" s="22">
        <f t="shared" ref="O18:O26" ca="1" si="9">IF(L18&gt;0,N18*100/L18,0)</f>
        <v>31.683334900090376</v>
      </c>
      <c r="P18" s="22">
        <f t="shared" ref="P18:P26" ca="1" si="10">IF(M18&gt;0,N18*100/M18,0)</f>
        <v>60.50481789779348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1270056</v>
      </c>
      <c r="N20" s="30">
        <f t="shared" ca="1" si="11"/>
        <v>768445.07</v>
      </c>
      <c r="O20" s="30">
        <f t="shared" ca="1" si="9"/>
        <v>31.683334900090376</v>
      </c>
      <c r="P20" s="30">
        <f t="shared" ca="1" si="10"/>
        <v>60.50481789779348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2349392</v>
      </c>
      <c r="M21" s="497">
        <f t="shared" ca="1" si="12"/>
        <v>1194056</v>
      </c>
      <c r="N21" s="497">
        <f t="shared" ca="1" si="12"/>
        <v>692445.07</v>
      </c>
      <c r="O21" s="497">
        <f t="shared" ca="1" si="9"/>
        <v>29.473373111000633</v>
      </c>
      <c r="P21" s="497">
        <f t="shared" ca="1" si="10"/>
        <v>57.991004609499051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2349392</v>
      </c>
      <c r="M23" s="93">
        <f t="shared" ca="1" si="13"/>
        <v>1194056</v>
      </c>
      <c r="N23" s="93">
        <f t="shared" ca="1" si="13"/>
        <v>692445.07</v>
      </c>
      <c r="O23" s="93">
        <f t="shared" ca="1" si="9"/>
        <v>29.473373111000633</v>
      </c>
      <c r="P23" s="93">
        <f t="shared" ca="1" si="10"/>
        <v>57.991004609499051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492426</v>
      </c>
      <c r="M28" s="22">
        <f t="shared" si="16"/>
        <v>0</v>
      </c>
      <c r="N28" s="22">
        <f t="shared" si="16"/>
        <v>94013</v>
      </c>
      <c r="O28" s="22">
        <f t="shared" ref="O28:O37" ca="1" si="17">IF(L28&gt;0,N28*100/L28,0)</f>
        <v>19.091802626181394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492426</v>
      </c>
      <c r="M30" s="30">
        <f t="shared" si="19"/>
        <v>0</v>
      </c>
      <c r="N30" s="30">
        <f t="shared" si="19"/>
        <v>94013</v>
      </c>
      <c r="O30" s="30">
        <f t="shared" ca="1" si="17"/>
        <v>19.091802626181394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492426</v>
      </c>
      <c r="M31" s="497">
        <f t="shared" si="20"/>
        <v>0</v>
      </c>
      <c r="N31" s="497">
        <f t="shared" si="20"/>
        <v>94013</v>
      </c>
      <c r="O31" s="497">
        <f t="shared" ca="1" si="17"/>
        <v>19.091802626181394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492426</v>
      </c>
      <c r="M33" s="93">
        <f t="shared" si="21"/>
        <v>0</v>
      </c>
      <c r="N33" s="93">
        <f t="shared" si="21"/>
        <v>94013</v>
      </c>
      <c r="O33" s="93">
        <f t="shared" ca="1" si="17"/>
        <v>19.091802626181394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2425392</v>
      </c>
      <c r="M37" s="59">
        <f t="shared" ca="1" si="24"/>
        <v>1270056</v>
      </c>
      <c r="N37" s="59">
        <f t="shared" ca="1" si="24"/>
        <v>768445.07</v>
      </c>
      <c r="O37" s="59">
        <f t="shared" ca="1" si="17"/>
        <v>31.683334900090376</v>
      </c>
      <c r="P37" s="59">
        <f t="shared" ca="1" si="18"/>
        <v>60.50481789779348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230686</v>
      </c>
      <c r="N41" s="85">
        <f t="shared" ca="1" si="25"/>
        <v>99442</v>
      </c>
      <c r="O41" s="85">
        <f t="shared" ref="O41:O49" ca="1" si="26">IF(L41&gt;0,N41*100/L41,0)</f>
        <v>26.416287236812046</v>
      </c>
      <c r="P41" s="85">
        <f t="shared" ref="P41:P49" ca="1" si="27">IF(M41&gt;0,N41*100/M41,0)</f>
        <v>43.107080620410429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230686</v>
      </c>
      <c r="N43" s="92">
        <f t="shared" ca="1" si="28"/>
        <v>99442</v>
      </c>
      <c r="O43" s="92">
        <f t="shared" ca="1" si="26"/>
        <v>26.416287236812046</v>
      </c>
      <c r="P43" s="92">
        <f t="shared" ca="1" si="27"/>
        <v>43.107080620410429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376442</v>
      </c>
      <c r="M44" s="497">
        <f t="shared" ca="1" si="29"/>
        <v>230686</v>
      </c>
      <c r="N44" s="497">
        <f t="shared" ca="1" si="29"/>
        <v>99442</v>
      </c>
      <c r="O44" s="497">
        <f t="shared" ca="1" si="26"/>
        <v>26.416287236812046</v>
      </c>
      <c r="P44" s="497">
        <f t="shared" ca="1" si="27"/>
        <v>43.107080620410429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IFERROR(__xludf.DUMMYFUNCTION("IMPORTRANGE(""https://docs.google.com/spreadsheets/d/1MeEWN-I1oV_STSDYn1IFDPWt_1FKiwhDph83XaGc0o0/edit?usp=sharing"",""งบพรบ!R80"")"),230686)</f>
        <v>230686</v>
      </c>
      <c r="N46" s="93">
        <f ca="1">IFERROR(__xludf.DUMMYFUNCTION("IMPORTRANGE(""https://docs.google.com/spreadsheets/d/1MeEWN-I1oV_STSDYn1IFDPWt_1FKiwhDph83XaGc0o0/edit?usp=sharing"",""งบพรบ!T80"")"),99442)</f>
        <v>99442</v>
      </c>
      <c r="O46" s="93">
        <f t="shared" ca="1" si="26"/>
        <v>26.416287236812046</v>
      </c>
      <c r="P46" s="93">
        <f t="shared" ca="1" si="27"/>
        <v>43.107080620410429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286300</v>
      </c>
      <c r="N53" s="116">
        <f t="shared" ca="1" si="31"/>
        <v>239145.84</v>
      </c>
      <c r="O53" s="116">
        <f t="shared" ref="O53:O61" ca="1" si="32">IF(L53&gt;0,N53*100/L53,0)</f>
        <v>41.764903946908838</v>
      </c>
      <c r="P53" s="116">
        <f t="shared" ref="P53:P61" ca="1" si="33">IF(M53&gt;0,N53*100/M53,0)</f>
        <v>83.529807893817676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286300</v>
      </c>
      <c r="N55" s="123">
        <f t="shared" ca="1" si="34"/>
        <v>239145.84</v>
      </c>
      <c r="O55" s="123">
        <f t="shared" ca="1" si="32"/>
        <v>41.764903946908838</v>
      </c>
      <c r="P55" s="123">
        <f t="shared" ca="1" si="33"/>
        <v>83.529807893817676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572600</v>
      </c>
      <c r="M56" s="497">
        <f t="shared" ca="1" si="35"/>
        <v>286300</v>
      </c>
      <c r="N56" s="497">
        <f t="shared" ca="1" si="35"/>
        <v>239145.84</v>
      </c>
      <c r="O56" s="497">
        <f t="shared" ca="1" si="32"/>
        <v>41.764903946908838</v>
      </c>
      <c r="P56" s="497">
        <f t="shared" ca="1" si="33"/>
        <v>83.529807893817676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IFERROR(__xludf.DUMMYFUNCTION("IMPORTRANGE(""https://docs.google.com/spreadsheets/d/1MeEWN-I1oV_STSDYn1IFDPWt_1FKiwhDph83XaGc0o0/edit?usp=sharing"",""งบพรบ!AB80"")"),286300)</f>
        <v>286300</v>
      </c>
      <c r="N58" s="93">
        <f ca="1">IFERROR(__xludf.DUMMYFUNCTION("IMPORTRANGE(""https://docs.google.com/spreadsheets/d/1MeEWN-I1oV_STSDYn1IFDPWt_1FKiwhDph83XaGc0o0/edit?usp=sharing"",""งบพรบ!AD80"")"),239145.84)</f>
        <v>239145.84</v>
      </c>
      <c r="O58" s="93">
        <f t="shared" ca="1" si="32"/>
        <v>41.764903946908838</v>
      </c>
      <c r="P58" s="93">
        <f t="shared" ca="1" si="33"/>
        <v>83.529807893817676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228840</v>
      </c>
      <c r="M88" s="155">
        <f t="shared" ca="1" si="49"/>
        <v>86840</v>
      </c>
      <c r="N88" s="155">
        <f t="shared" ca="1" si="49"/>
        <v>35099.94</v>
      </c>
      <c r="O88" s="155">
        <f t="shared" ref="O88:O96" ca="1" si="50">IF(L88&gt;0,N88*100/L88,0)</f>
        <v>15.338201363398007</v>
      </c>
      <c r="P88" s="155">
        <f t="shared" ref="P88:P96" ca="1" si="51">IF(M88&gt;0,N88*100/M88,0)</f>
        <v>40.419092584062646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228840</v>
      </c>
      <c r="M90" s="93">
        <f t="shared" ca="1" si="52"/>
        <v>86840</v>
      </c>
      <c r="N90" s="93">
        <f t="shared" ca="1" si="52"/>
        <v>35099.94</v>
      </c>
      <c r="O90" s="93">
        <f t="shared" ca="1" si="50"/>
        <v>15.338201363398007</v>
      </c>
      <c r="P90" s="93">
        <f t="shared" ca="1" si="51"/>
        <v>40.419092584062646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228840</v>
      </c>
      <c r="M91" s="497">
        <f t="shared" ca="1" si="53"/>
        <v>86840</v>
      </c>
      <c r="N91" s="497">
        <f t="shared" ca="1" si="53"/>
        <v>35099.94</v>
      </c>
      <c r="O91" s="497">
        <f t="shared" ca="1" si="50"/>
        <v>15.338201363398007</v>
      </c>
      <c r="P91" s="497">
        <f t="shared" ca="1" si="51"/>
        <v>40.419092584062646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IFERROR(__xludf.DUMMYFUNCTION("IMPORTRANGE(""https://docs.google.com/spreadsheets/d/1MeEWN-I1oV_STSDYn1IFDPWt_1FKiwhDph83XaGc0o0/edit?usp=sharing"",""งบพรบ!AV80"")"),86840)</f>
        <v>86840</v>
      </c>
      <c r="N93" s="93">
        <f ca="1">IFERROR(__xludf.DUMMYFUNCTION("IMPORTRANGE(""https://docs.google.com/spreadsheets/d/1MeEWN-I1oV_STSDYn1IFDPWt_1FKiwhDph83XaGc0o0/edit?usp=sharing"",""งบพรบ!AX80"")"),35099.94)</f>
        <v>35099.94</v>
      </c>
      <c r="O93" s="93">
        <f t="shared" ca="1" si="50"/>
        <v>15.338201363398007</v>
      </c>
      <c r="P93" s="93">
        <f t="shared" ca="1" si="51"/>
        <v>40.419092584062646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IFERROR(__xludf.DUMMYFUNCTION("IMPORTRANGE(""https://docs.google.com/spreadsheets/d/1QqKyyYR6Q21VydFLVH3TRQUabQu_ym0Zz7PgGX0-kHA/edit?usp=sharing"",""แผน!K80"")"),30)</f>
        <v>30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IFERROR(__xludf.DUMMYFUNCTION("IMPORTRANGE(""https://docs.google.com/spreadsheets/d/1QqKyyYR6Q21VydFLVH3TRQUabQu_ym0Zz7PgGX0-kHA/edit?usp=sharing"",""แผน!L80"")"),10)</f>
        <v>10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IFERROR(__xludf.DUMMYFUNCTION("IMPORTRANGE(""https://docs.google.com/spreadsheets/d/1QqKyyYR6Q21VydFLVH3TRQUabQu_ym0Zz7PgGX0-kHA/edit?usp=sharing"",""แผน!M80"")"),2)</f>
        <v>2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IFERROR(__xludf.DUMMYFUNCTION("IMPORTRANGE(""https://docs.google.com/spreadsheets/d/1QqKyyYR6Q21VydFLVH3TRQUabQu_ym0Zz7PgGX0-kHA/edit?usp=sharing"",""แผน!N80"")"),30)</f>
        <v>30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IFERROR(__xludf.DUMMYFUNCTION("IMPORTRANGE(""https://docs.google.com/spreadsheets/d/1QqKyyYR6Q21VydFLVH3TRQUabQu_ym0Zz7PgGX0-kHA/edit?usp=sharing"",""แผน!O80"")"),10)</f>
        <v>10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IFERROR(__xludf.DUMMYFUNCTION("IMPORTRANGE(""https://docs.google.com/spreadsheets/d/1QqKyyYR6Q21VydFLVH3TRQUabQu_ym0Zz7PgGX0-kHA/edit?usp=sharing"",""แผน!O80"")"),10)</f>
        <v>10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IFERROR(__xludf.DUMMYFUNCTION("IMPORTRANGE(""https://docs.google.com/spreadsheets/d/1QqKyyYR6Q21VydFLVH3TRQUabQu_ym0Zz7PgGX0-kHA/edit?usp=sharing"",""แผน!P80"")"),1)</f>
        <v>1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IFERROR(__xludf.DUMMYFUNCTION("IMPORTRANGE(""https://docs.google.com/spreadsheets/d/1QqKyyYR6Q21VydFLVH3TRQUabQu_ym0Zz7PgGX0-kHA/edit?usp=sharing"",""แผน!P80"")"),1)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IFERROR(__xludf.DUMMYFUNCTION("IMPORTRANGE(""https://docs.google.com/spreadsheets/d/1QqKyyYR6Q21VydFLVH3TRQUabQu_ym0Zz7PgGX0-kHA/edit?usp=sharing"",""แผน!Q80"")"),1)</f>
        <v>1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IFERROR(__xludf.DUMMYFUNCTION("IMPORTRANGE(""https://docs.google.com/spreadsheets/d/1QqKyyYR6Q21VydFLVH3TRQUabQu_ym0Zz7PgGX0-kHA/edit?usp=sharing"",""แผน!Q80"")"),1)</f>
        <v>1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IFERROR(__xludf.DUMMYFUNCTION("IMPORTRANGE(""https://docs.google.com/spreadsheets/d/1QqKyyYR6Q21VydFLVH3TRQUabQu_ym0Zz7PgGX0-kHA/edit?usp=sharing"",""แผน!U80"")"),0)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IFERROR(__xludf.DUMMYFUNCTION("IMPORTRANGE(""https://docs.google.com/spreadsheets/d/1QqKyyYR6Q21VydFLVH3TRQUabQu_ym0Zz7PgGX0-kHA/edit?usp=sharing"",""แผน!V80"")"),0)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IFERROR(__xludf.DUMMYFUNCTION("IMPORTRANGE(""https://docs.google.com/spreadsheets/d/1QqKyyYR6Q21VydFLVH3TRQUabQu_ym0Zz7PgGX0-kHA/edit?usp=sharing"",""แผน!W80"")"),0)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IFERROR(__xludf.DUMMYFUNCTION("IMPORTRANGE(""https://docs.google.com/spreadsheets/d/1QqKyyYR6Q21VydFLVH3TRQUabQu_ym0Zz7PgGX0-kHA/edit?usp=sharing"",""แผน!X80"")"),0)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10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IFERROR(__xludf.DUMMYFUNCTION("IMPORTRANGE(""https://docs.google.com/spreadsheets/d/1MeEWN-I1oV_STSDYn1IFDPWt_1FKiwhDph83XaGc0o0/edit?usp=sharing"",""งบพรบ!CJ80"")"),21050)</f>
        <v>21050</v>
      </c>
      <c r="N170" s="93">
        <f ca="1">IFERROR(__xludf.DUMMYFUNCTION("IMPORTRANGE(""https://docs.google.com/spreadsheets/d/1MeEWN-I1oV_STSDYn1IFDPWt_1FKiwhDph83XaGc0o0/edit?usp=sharing"",""งบพรบ!CL80"")"),21050)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IFERROR(__xludf.DUMMYFUNCTION("IMPORTRANGE(""https://docs.google.com/spreadsheets/d/1QqKyyYR6Q21VydFLVH3TRQUabQu_ym0Zz7PgGX0-kHA/edit?usp=sharing"",""แผน!Y80"")"),10)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208400</v>
      </c>
      <c r="M181" s="155">
        <f t="shared" ca="1" si="92"/>
        <v>110650</v>
      </c>
      <c r="N181" s="155">
        <f t="shared" ca="1" si="92"/>
        <v>75876.789999999994</v>
      </c>
      <c r="O181" s="155">
        <f t="shared" ref="O181:O189" ca="1" si="93">IF(L181&gt;0,N181*100/L181,0)</f>
        <v>36.409208253358919</v>
      </c>
      <c r="P181" s="155">
        <f t="shared" ref="P181:P189" ca="1" si="94">IF(M181&gt;0,N181*100/M181,0)</f>
        <v>68.57369182105738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208400</v>
      </c>
      <c r="M183" s="93">
        <f t="shared" ca="1" si="95"/>
        <v>110650</v>
      </c>
      <c r="N183" s="93">
        <f t="shared" ca="1" si="95"/>
        <v>75876.789999999994</v>
      </c>
      <c r="O183" s="93">
        <f t="shared" ca="1" si="93"/>
        <v>36.409208253358919</v>
      </c>
      <c r="P183" s="93">
        <f t="shared" ca="1" si="94"/>
        <v>68.57369182105738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208400</v>
      </c>
      <c r="M184" s="497">
        <f t="shared" ca="1" si="96"/>
        <v>110650</v>
      </c>
      <c r="N184" s="497">
        <f t="shared" ca="1" si="96"/>
        <v>75876.789999999994</v>
      </c>
      <c r="O184" s="497">
        <f t="shared" ca="1" si="93"/>
        <v>36.409208253358919</v>
      </c>
      <c r="P184" s="497">
        <f t="shared" ca="1" si="94"/>
        <v>68.57369182105738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IFERROR(__xludf.DUMMYFUNCTION("IMPORTRANGE(""https://docs.google.com/spreadsheets/d/1MeEWN-I1oV_STSDYn1IFDPWt_1FKiwhDph83XaGc0o0/edit?usp=sharing"",""งบพรบ!CT80"")"),110650)</f>
        <v>110650</v>
      </c>
      <c r="N186" s="93">
        <f ca="1">IFERROR(__xludf.DUMMYFUNCTION("IMPORTRANGE(""https://docs.google.com/spreadsheets/d/1MeEWN-I1oV_STSDYn1IFDPWt_1FKiwhDph83XaGc0o0/edit?usp=sharing"",""งบพรบ!CV80"")"),75876.79)</f>
        <v>75876.789999999994</v>
      </c>
      <c r="O186" s="93">
        <f t="shared" ca="1" si="93"/>
        <v>36.409208253358919</v>
      </c>
      <c r="P186" s="93">
        <f t="shared" ca="1" si="94"/>
        <v>68.57369182105738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5">
        <v>2000</v>
      </c>
      <c r="O191" s="155">
        <f ca="1">IF(L191&gt;0,N191*100/L191,0)</f>
        <v>33.333333333333336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IFERROR(__xludf.DUMMYFUNCTION("IMPORTRANGE(""https://docs.google.com/spreadsheets/d/1QqKyyYR6Q21VydFLVH3TRQUabQu_ym0Zz7PgGX0-kHA/edit?usp=sharing"",""แผน!AC80"")"),4)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49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49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IFERROR(__xludf.DUMMYFUNCTION("IMPORTRANGE(""https://docs.google.com/spreadsheets/d/1QqKyyYR6Q21VydFLVH3TRQUabQu_ym0Zz7PgGX0-kHA/edit?usp=sharing"",""แผน!AE80"")"),2000)</f>
        <v>2000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IFERROR(__xludf.DUMMYFUNCTION("IMPORTRANGE(""https://docs.google.com/spreadsheets/d/1QqKyyYR6Q21VydFLVH3TRQUabQu_ym0Zz7PgGX0-kHA/edit?usp=sharing"",""แผน!AF80"")"),16000)</f>
        <v>16000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IFERROR(__xludf.DUMMYFUNCTION("IMPORTRANGE(""https://docs.google.com/spreadsheets/d/1QqKyyYR6Q21VydFLVH3TRQUabQu_ym0Zz7PgGX0-kHA/edit?usp=sharing"",""แผน!AG80"")"),8000)</f>
        <v>8000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IFERROR(__xludf.DUMMYFUNCTION("IMPORTRANGE(""https://docs.google.com/spreadsheets/d/1QqKyyYR6Q21VydFLVH3TRQUabQu_ym0Zz7PgGX0-kHA/edit?usp=sharing"",""แผน!AH80"")"),0)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IFERROR(__xludf.DUMMYFUNCTION("IMPORTRANGE(""https://docs.google.com/spreadsheets/d/1QqKyyYR6Q21VydFLVH3TRQUabQu_ym0Zz7PgGX0-kHA/edit?usp=sharing"",""แผน!AI80"")"),2)</f>
        <v>2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IFERROR(__xludf.DUMMYFUNCTION("IMPORTRANGE(""https://docs.google.com/spreadsheets/d/1QqKyyYR6Q21VydFLVH3TRQUabQu_ym0Zz7PgGX0-kHA/edit?usp=sharing"",""แผน!AK80"")"),0)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IFERROR(__xludf.DUMMYFUNCTION("IMPORTRANGE(""https://docs.google.com/spreadsheets/d/1QqKyyYR6Q21VydFLVH3TRQUabQu_ym0Zz7PgGX0-kHA/edit?usp=sharing"",""แผน!AL80"")"),0)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IFERROR(__xludf.DUMMYFUNCTION("IMPORTRANGE(""https://docs.google.com/spreadsheets/d/1QqKyyYR6Q21VydFLVH3TRQUabQu_ym0Zz7PgGX0-kHA/edit?usp=sharing"",""แผน!AM80"")"),0)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IFERROR(__xludf.DUMMYFUNCTION("IMPORTRANGE(""https://docs.google.com/spreadsheets/d/1QqKyyYR6Q21VydFLVH3TRQUabQu_ym0Zz7PgGX0-kHA/edit?usp=sharing"",""แผน!AN80"")"),0)</f>
        <v>0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IFERROR(__xludf.DUMMYFUNCTION("IMPORTRANGE(""https://docs.google.com/spreadsheets/d/1QqKyyYR6Q21VydFLVH3TRQUabQu_ym0Zz7PgGX0-kHA/edit?usp=sharing"",""แผน!AN80"")"),0)</f>
        <v>0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12800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17100</v>
      </c>
      <c r="M217" s="155"/>
      <c r="N217" s="155">
        <f>N218+N219+N220</f>
        <v>7600</v>
      </c>
      <c r="O217" s="155">
        <f ca="1">IF(L217&gt;0,N217*100/L217,0)</f>
        <v>44.444444444444443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IFERROR(__xludf.DUMMYFUNCTION("IMPORTRANGE(""https://docs.google.com/spreadsheets/d/1QqKyyYR6Q21VydFLVH3TRQUabQu_ym0Zz7PgGX0-kHA/edit?usp=sharing"",""แผน!AP80"")"),3000)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IFERROR(__xludf.DUMMYFUNCTION("IMPORTRANGE(""https://docs.google.com/spreadsheets/d/1QqKyyYR6Q21VydFLVH3TRQUabQu_ym0Zz7PgGX0-kHA/edit?usp=sharing"",""แผน!AQ80"")"),4100)</f>
        <v>4100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IFERROR(__xludf.DUMMYFUNCTION("IMPORTRANGE(""https://docs.google.com/spreadsheets/d/1QqKyyYR6Q21VydFLVH3TRQUabQu_ym0Zz7PgGX0-kHA/edit?usp=sharing"",""แผน!AR80"")"),10000)</f>
        <v>10000</v>
      </c>
      <c r="M220" s="497"/>
      <c r="N220" s="818">
        <v>7600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IFERROR(__xludf.DUMMYFUNCTION("IMPORTRANGE(""https://docs.google.com/spreadsheets/d/1QqKyyYR6Q21VydFLVH3TRQUabQu_ym0Zz7PgGX0-kHA/edit?usp=sharing"",""แผน!AT80"")"),12800)</f>
        <v>12800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IFERROR(__xludf.DUMMYFUNCTION("IMPORTRANGE(""https://docs.google.com/spreadsheets/d/1QqKyyYR6Q21VydFLVH3TRQUabQu_ym0Zz7PgGX0-kHA/edit?usp=sharing"",""แผน!AT80"")"),12800)</f>
        <v>12800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IFERROR(__xludf.DUMMYFUNCTION("IMPORTRANGE(""https://docs.google.com/spreadsheets/d/1QqKyyYR6Q21VydFLVH3TRQUabQu_ym0Zz7PgGX0-kHA/edit?usp=sharing"",""แผน!AS80"")"),10)</f>
        <v>10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IFERROR(__xludf.DUMMYFUNCTION("IMPORTRANGE(""https://docs.google.com/spreadsheets/d/1QqKyyYR6Q21VydFLVH3TRQUabQu_ym0Zz7PgGX0-kHA/edit?usp=sharing"",""แผน!AV80"")"),0)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IFERROR(__xludf.DUMMYFUNCTION("IMPORTRANGE(""https://docs.google.com/spreadsheets/d/1QqKyyYR6Q21VydFLVH3TRQUabQu_ym0Zz7PgGX0-kHA/edit?usp=sharing"",""แผน!AW80"")"),0)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IFERROR(__xludf.DUMMYFUNCTION("IMPORTRANGE(""https://docs.google.com/spreadsheets/d/1QqKyyYR6Q21VydFLVH3TRQUabQu_ym0Zz7PgGX0-kHA/edit?usp=sharing"",""แผน!AX80"")"),0)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IFERROR(__xludf.DUMMYFUNCTION("IMPORTRANGE(""https://docs.google.com/spreadsheets/d/1QqKyyYR6Q21VydFLVH3TRQUabQu_ym0Zz7PgGX0-kHA/edit?usp=sharing"",""แผน!AY80"")"),0)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IFERROR(__xludf.DUMMYFUNCTION("IMPORTRANGE(""https://docs.google.com/spreadsheets/d/1QqKyyYR6Q21VydFLVH3TRQUabQu_ym0Zz7PgGX0-kHA/edit?usp=sharing"",""แผน!BE80"")"),0)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IFERROR(__xludf.DUMMYFUNCTION("IMPORTRANGE(""https://docs.google.com/spreadsheets/d/1QqKyyYR6Q21VydFLVH3TRQUabQu_ym0Zz7PgGX0-kHA/edit?usp=sharing"",""แผน!AZ80"")"),0)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IFERROR(__xludf.DUMMYFUNCTION("IMPORTRANGE(""https://docs.google.com/spreadsheets/d/1QqKyyYR6Q21VydFLVH3TRQUabQu_ym0Zz7PgGX0-kHA/edit?usp=sharing"",""แผน!BA80"")"),0)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IFERROR(__xludf.DUMMYFUNCTION("IMPORTRANGE(""https://docs.google.com/spreadsheets/d/1QqKyyYR6Q21VydFLVH3TRQUabQu_ym0Zz7PgGX0-kHA/edit?usp=sharing"",""แผน!BB80"")"),0)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IFERROR(__xludf.DUMMYFUNCTION("IMPORTRANGE(""https://docs.google.com/spreadsheets/d/1QqKyyYR6Q21VydFLVH3TRQUabQu_ym0Zz7PgGX0-kHA/edit?usp=sharing"",""แผน!BC80"")"),0)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IFERROR(__xludf.DUMMYFUNCTION("IMPORTRANGE(""https://docs.google.com/spreadsheets/d/1QqKyyYR6Q21VydFLVH3TRQUabQu_ym0Zz7PgGX0-kHA/edit?usp=sharing"",""แผน!BF80"")"),0)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20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IFERROR(__xludf.DUMMYFUNCTION("IMPORTRANGE(""https://docs.google.com/spreadsheets/d/1MeEWN-I1oV_STSDYn1IFDPWt_1FKiwhDph83XaGc0o0/edit?usp=sharing"",""งบพรบ!DD80"")"),0)</f>
        <v>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IFERROR(__xludf.DUMMYFUNCTION("IMPORTRANGE(""https://docs.google.com/spreadsheets/d/1QqKyyYR6Q21VydFLVH3TRQUabQu_ym0Zz7PgGX0-kHA/edit?usp=sharing"",""แผน!EA80"")"),20)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IFERROR(__xludf.DUMMYFUNCTION("IMPORTRANGE(""https://docs.google.com/spreadsheets/d/1QqKyyYR6Q21VydFLVH3TRQUabQu_ym0Zz7PgGX0-kHA/edit?usp=sharing"",""แผน!EC80"")"),0)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IFERROR(__xludf.DUMMYFUNCTION("IMPORTRANGE(""https://docs.google.com/spreadsheets/d/1QqKyyYR6Q21VydFLVH3TRQUabQu_ym0Zz7PgGX0-kHA/edit?usp=sharing"",""แผน!EB80"")"),0)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IFERROR(__xludf.DUMMYFUNCTION("IMPORTRANGE(""https://docs.google.com/spreadsheets/d/1QqKyyYR6Q21VydFLVH3TRQUabQu_ym0Zz7PgGX0-kHA/edit?usp=sharing"",""แผน!EB80"")"),0)</f>
        <v>0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IFERROR(__xludf.DUMMYFUNCTION("IMPORTRANGE(""https://docs.google.com/spreadsheets/d/1QqKyyYR6Q21VydFLVH3TRQUabQu_ym0Zz7PgGX0-kHA/edit?usp=sharing"",""แผน!ED80"")"),0)</f>
        <v>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IFERROR(__xludf.DUMMYFUNCTION("IMPORTRANGE(""https://docs.google.com/spreadsheets/d/1QqKyyYR6Q21VydFLVH3TRQUabQu_ym0Zz7PgGX0-kHA/edit?usp=sharing"",""แผน!ED80"")"),0)</f>
        <v>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IFERROR(__xludf.DUMMYFUNCTION("IMPORTRANGE(""https://docs.google.com/spreadsheets/d/1QqKyyYR6Q21VydFLVH3TRQUabQu_ym0Zz7PgGX0-kHA/edit?usp=sharing"",""แผน!ED80"")"),0)</f>
        <v>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IFERROR(__xludf.DUMMYFUNCTION("IMPORTRANGE(""https://docs.google.com/spreadsheets/d/1QqKyyYR6Q21VydFLVH3TRQUabQu_ym0Zz7PgGX0-kHA/edit?usp=sharing"",""แผน!EE80"")"),0)</f>
        <v>0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IFERROR(__xludf.DUMMYFUNCTION("IMPORTRANGE(""https://docs.google.com/spreadsheets/d/1QqKyyYR6Q21VydFLVH3TRQUabQu_ym0Zz7PgGX0-kHA/edit?usp=sharing"",""แผน!EF80"")"),0)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IFERROR(__xludf.DUMMYFUNCTION("IMPORTRANGE(""https://docs.google.com/spreadsheets/d/1QqKyyYR6Q21VydFLVH3TRQUabQu_ym0Zz7PgGX0-kHA/edit?usp=sharing"",""แผน!EG80"")"),300)</f>
        <v>300</v>
      </c>
      <c r="J327" s="444">
        <f ca="1">J338+J341+J342+J343</f>
        <v>171</v>
      </c>
      <c r="K327" s="445">
        <f ca="1">IF(I327&gt;0,J327*100/I327,0)</f>
        <v>57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78500</v>
      </c>
      <c r="N328" s="155">
        <f t="shared" ca="1" si="149"/>
        <v>12404</v>
      </c>
      <c r="O328" s="155">
        <f t="shared" ref="O328:O336" ca="1" si="150">IF(L328&gt;0,N328*100/L328,0)</f>
        <v>7.9006369426751588</v>
      </c>
      <c r="P328" s="155">
        <f t="shared" ref="P328:P336" ca="1" si="151">IF(M328&gt;0,N328*100/M328,0)</f>
        <v>15.801273885350318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157000</v>
      </c>
      <c r="M330" s="93">
        <f t="shared" ca="1" si="152"/>
        <v>78500</v>
      </c>
      <c r="N330" s="93">
        <f t="shared" ca="1" si="152"/>
        <v>12404</v>
      </c>
      <c r="O330" s="93">
        <f t="shared" ca="1" si="150"/>
        <v>7.9006369426751588</v>
      </c>
      <c r="P330" s="93">
        <f t="shared" ca="1" si="151"/>
        <v>15.801273885350318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78500</v>
      </c>
      <c r="N331" s="497">
        <f t="shared" ca="1" si="153"/>
        <v>12404</v>
      </c>
      <c r="O331" s="497">
        <f t="shared" ca="1" si="150"/>
        <v>7.9006369426751588</v>
      </c>
      <c r="P331" s="497">
        <f t="shared" ca="1" si="151"/>
        <v>15.801273885350318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IFERROR(__xludf.DUMMYFUNCTION("IMPORTRANGE(""https://docs.google.com/spreadsheets/d/1MeEWN-I1oV_STSDYn1IFDPWt_1FKiwhDph83XaGc0o0/edit?usp=sharing"",""งบพรบ!ER80"")"),78500)</f>
        <v>78500</v>
      </c>
      <c r="N333" s="93">
        <f ca="1">IFERROR(__xludf.DUMMYFUNCTION("IMPORTRANGE(""https://docs.google.com/spreadsheets/d/1MeEWN-I1oV_STSDYn1IFDPWt_1FKiwhDph83XaGc0o0/edit?usp=sharing"",""งบพรบ!ET80"")"),12404)</f>
        <v>12404</v>
      </c>
      <c r="O333" s="93">
        <f t="shared" ca="1" si="150"/>
        <v>7.9006369426751588</v>
      </c>
      <c r="P333" s="93">
        <f t="shared" ca="1" si="151"/>
        <v>15.801273885350318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IFERROR(__xludf.DUMMYFUNCTION("IMPORTRANGE(""https://docs.google.com/spreadsheets/d/1QqKyyYR6Q21VydFLVH3TRQUabQu_ym0Zz7PgGX0-kHA/edit?usp=sharing"",""แผน!EG80"")"),300)</f>
        <v>300</v>
      </c>
      <c r="J338" s="269">
        <f ca="1">IFERROR(__xludf.DUMMYFUNCTION("IMPORTRANGE(""https://docs.google.com/spreadsheets/d/1kVcqe37tkHyjCSG3S0O1AXqVkqjo8mSIZil3BcpIysc/edit?usp=sharing"",""ศูนย์!D80"")"),92)</f>
        <v>92</v>
      </c>
      <c r="K338" s="497">
        <f ca="1">IF(I338&gt;0,J338*100/I338,0)</f>
        <v>30.666666666666668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IFERROR(__xludf.DUMMYFUNCTION("IMPORTRANGE(""https://docs.google.com/spreadsheets/d/1QqKyyYR6Q21VydFLVH3TRQUabQu_ym0Zz7PgGX0-kHA/edit?usp=sharing"",""แผน!EH80"")"),2)</f>
        <v>2</v>
      </c>
      <c r="J340" s="269">
        <f ca="1">IFERROR(__xludf.DUMMYFUNCTION("IMPORTRANGE(""https://docs.google.com/spreadsheets/d/1kVcqe37tkHyjCSG3S0O1AXqVkqjo8mSIZil3BcpIysc/edit?usp=sharing"",""ศูนย์!E80"")"),2)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IFERROR(__xludf.DUMMYFUNCTION("IMPORTRANGE(""https://docs.google.com/spreadsheets/d/1kVcqe37tkHyjCSG3S0O1AXqVkqjo8mSIZil3BcpIysc/edit?usp=sharing"",""ศูนย์!F80"")"),69)</f>
        <v>69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IFERROR(__xludf.DUMMYFUNCTION("IMPORTRANGE(""https://docs.google.com/spreadsheets/d/1kVcqe37tkHyjCSG3S0O1AXqVkqjo8mSIZil3BcpIysc/edit?usp=sharing"",""ศูนย์!H80"")"),10)</f>
        <v>10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836060</v>
      </c>
      <c r="M345" s="155">
        <f t="shared" ca="1" si="155"/>
        <v>456030</v>
      </c>
      <c r="N345" s="155">
        <f t="shared" ca="1" si="155"/>
        <v>285426.5</v>
      </c>
      <c r="O345" s="155">
        <f t="shared" ref="O345:O353" ca="1" si="156">IF(L345&gt;0,N345*100/L345,0)</f>
        <v>34.139475635719926</v>
      </c>
      <c r="P345" s="155">
        <f t="shared" ref="P345:P353" ca="1" si="157">IF(M345&gt;0,N345*100/M345,0)</f>
        <v>62.589412977216412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836060</v>
      </c>
      <c r="M347" s="93">
        <f t="shared" ca="1" si="158"/>
        <v>456030</v>
      </c>
      <c r="N347" s="93">
        <f t="shared" ca="1" si="158"/>
        <v>285426.5</v>
      </c>
      <c r="O347" s="93">
        <f t="shared" ca="1" si="156"/>
        <v>34.139475635719926</v>
      </c>
      <c r="P347" s="93">
        <f t="shared" ca="1" si="157"/>
        <v>62.589412977216412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760060</v>
      </c>
      <c r="M348" s="497">
        <f t="shared" ca="1" si="159"/>
        <v>380030</v>
      </c>
      <c r="N348" s="497">
        <f t="shared" ca="1" si="159"/>
        <v>209426.5</v>
      </c>
      <c r="O348" s="497">
        <f t="shared" ca="1" si="156"/>
        <v>27.553943109754492</v>
      </c>
      <c r="P348" s="497">
        <f t="shared" ca="1" si="157"/>
        <v>55.107886219508984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IFERROR(__xludf.DUMMYFUNCTION("IMPORTRANGE(""https://docs.google.com/spreadsheets/d/1MeEWN-I1oV_STSDYn1IFDPWt_1FKiwhDph83XaGc0o0/edit?usp=sharing"",""งบพรบ!FB80"")"),380030)</f>
        <v>380030</v>
      </c>
      <c r="N350" s="93">
        <f ca="1">IFERROR(__xludf.DUMMYFUNCTION("IMPORTRANGE(""https://docs.google.com/spreadsheets/d/1MeEWN-I1oV_STSDYn1IFDPWt_1FKiwhDph83XaGc0o0/edit?usp=sharing"",""งบพรบ!FD80"")"),209426.5)</f>
        <v>209426.5</v>
      </c>
      <c r="O350" s="93">
        <f t="shared" ca="1" si="156"/>
        <v>27.553943109754492</v>
      </c>
      <c r="P350" s="93">
        <f t="shared" ca="1" si="157"/>
        <v>55.107886219508984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76000</v>
      </c>
      <c r="N351" s="497">
        <f t="shared" ca="1" si="160"/>
        <v>76000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IFERROR(__xludf.DUMMYFUNCTION("IMPORTRANGE(""https://docs.google.com/spreadsheets/d/1QqKyyYR6Q21VydFLVH3TRQUabQu_ym0Zz7PgGX0-kHA/edit?usp=sharing"",""แผน!EP80"")"),84)</f>
        <v>84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IFERROR(__xludf.DUMMYFUNCTION("IMPORTRANGE(""https://docs.google.com/spreadsheets/d/1XWAQStnk-4SwqDmLtmXYiTMKHgktTP8We1SCoS47DrQ/edit?usp=sharing"",""จัดที่ดิน!W80"")"),29)</f>
        <v>29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IFERROR(__xludf.DUMMYFUNCTION("IMPORTRANGE(""https://docs.google.com/spreadsheets/d/1QqKyyYR6Q21VydFLVH3TRQUabQu_ym0Zz7PgGX0-kHA/edit?usp=sharing"",""แผน!EO80"")"),400)</f>
        <v>400</v>
      </c>
      <c r="J359" s="269">
        <f ca="1">IFERROR(__xludf.DUMMYFUNCTION("IMPORTRANGE(""https://docs.google.com/spreadsheets/d/1XWAQStnk-4SwqDmLtmXYiTMKHgktTP8We1SCoS47DrQ/edit?usp=sharing"",""จัดที่ดิน!X80"")"),142.76)</f>
        <v>142.76</v>
      </c>
      <c r="K359" s="497">
        <f t="shared" ca="1" si="161"/>
        <v>35.69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IFERROR(__xludf.DUMMYFUNCTION("IMPORTRANGE(""https://docs.google.com/spreadsheets/d/1QqKyyYR6Q21VydFLVH3TRQUabQu_ym0Zz7PgGX0-kHA/edit?usp=sharing"",""แผน!EP80"")"),84)</f>
        <v>84</v>
      </c>
      <c r="J360" s="269">
        <f ca="1">IFERROR(__xludf.DUMMYFUNCTION("IMPORTRANGE(""https://docs.google.com/spreadsheets/d/1XWAQStnk-4SwqDmLtmXYiTMKHgktTP8We1SCoS47DrQ/edit?usp=sharing"",""จัดที่ดิน!Y80"")"),29)</f>
        <v>29</v>
      </c>
      <c r="K360" s="497">
        <f t="shared" ca="1" si="161"/>
        <v>34.523809523809526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IFERROR(__xludf.DUMMYFUNCTION("IMPORTRANGE(""https://docs.google.com/spreadsheets/d/1XWAQStnk-4SwqDmLtmXYiTMKHgktTP8We1SCoS47DrQ/edit?usp=sharing"",""จัดที่ดิน!Z80"")"),142.76)</f>
        <v>142.76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IFERROR(__xludf.DUMMYFUNCTION("IMPORTRANGE(""https://docs.google.com/spreadsheets/d/1QqKyyYR6Q21VydFLVH3TRQUabQu_ym0Zz7PgGX0-kHA/edit?usp=sharing"",""แผน!EP80"")"),84)</f>
        <v>84</v>
      </c>
      <c r="J362" s="269">
        <f ca="1">IFERROR(__xludf.DUMMYFUNCTION("IMPORTRANGE(""https://docs.google.com/spreadsheets/d/1XWAQStnk-4SwqDmLtmXYiTMKHgktTP8We1SCoS47DrQ/edit?usp=sharing"",""จัดที่ดิน!AA80"")"),0)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IFERROR(__xludf.DUMMYFUNCTION("IMPORTRANGE(""https://docs.google.com/spreadsheets/d/1XWAQStnk-4SwqDmLtmXYiTMKHgktTP8We1SCoS47DrQ/edit?usp=sharing"",""จัดที่ดิน!AB80"")"),0)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134</v>
      </c>
      <c r="J364" s="478">
        <f t="shared" ca="1" si="162"/>
        <v>5</v>
      </c>
      <c r="K364" s="479">
        <f t="shared" ca="1" si="161"/>
        <v>3.7313432835820897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IFERROR(__xludf.DUMMYFUNCTION("IMPORTRANGE(""https://docs.google.com/spreadsheets/d/1QqKyyYR6Q21VydFLVH3TRQUabQu_ym0Zz7PgGX0-kHA/edit?usp=sharing"",""แผน!EJ80"")"),30)</f>
        <v>30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IFERROR(__xludf.DUMMYFUNCTION("IMPORTRANGE(""https://docs.google.com/spreadsheets/d/1XWAQStnk-4SwqDmLtmXYiTMKHgktTP8We1SCoS47DrQ/edit?usp=sharing"",""จัดที่ดิน!E80"")"),29)</f>
        <v>29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IFERROR(__xludf.DUMMYFUNCTION("IMPORTRANGE(""https://docs.google.com/spreadsheets/d/1QqKyyYR6Q21VydFLVH3TRQUabQu_ym0Zz7PgGX0-kHA/edit?usp=sharing"",""แผน!EI80"")"),200)</f>
        <v>200</v>
      </c>
      <c r="J369" s="269">
        <f ca="1">IFERROR(__xludf.DUMMYFUNCTION("IMPORTRANGE(""https://docs.google.com/spreadsheets/d/1XWAQStnk-4SwqDmLtmXYiTMKHgktTP8We1SCoS47DrQ/edit?usp=sharing"",""จัดที่ดิน!F80"")"),142.76)</f>
        <v>142.76</v>
      </c>
      <c r="K369" s="497">
        <f t="shared" ca="1" si="163"/>
        <v>71.38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IFERROR(__xludf.DUMMYFUNCTION("IMPORTRANGE(""https://docs.google.com/spreadsheets/d/1QqKyyYR6Q21VydFLVH3TRQUabQu_ym0Zz7PgGX0-kHA/edit?usp=sharing"",""แผน!EJ80"")"),30)</f>
        <v>30</v>
      </c>
      <c r="J370" s="269">
        <f ca="1">IFERROR(__xludf.DUMMYFUNCTION("IMPORTRANGE(""https://docs.google.com/spreadsheets/d/1XWAQStnk-4SwqDmLtmXYiTMKHgktTP8We1SCoS47DrQ/edit?usp=sharing"",""จัดที่ดิน!G80"")"),29)</f>
        <v>29</v>
      </c>
      <c r="K370" s="497">
        <f t="shared" ca="1" si="163"/>
        <v>96.666666666666671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IFERROR(__xludf.DUMMYFUNCTION("IMPORTRANGE(""https://docs.google.com/spreadsheets/d/1XWAQStnk-4SwqDmLtmXYiTMKHgktTP8We1SCoS47DrQ/edit?usp=sharing"",""จัดที่ดิน!H80"")"),142.76)</f>
        <v>142.76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IFERROR(__xludf.DUMMYFUNCTION("IMPORTRANGE(""https://docs.google.com/spreadsheets/d/1QqKyyYR6Q21VydFLVH3TRQUabQu_ym0Zz7PgGX0-kHA/edit?usp=sharing"",""แผน!EJ80"")"),30)</f>
        <v>30</v>
      </c>
      <c r="J372" s="269">
        <f ca="1">IFERROR(__xludf.DUMMYFUNCTION("IMPORTRANGE(""https://docs.google.com/spreadsheets/d/1XWAQStnk-4SwqDmLtmXYiTMKHgktTP8We1SCoS47DrQ/edit?usp=sharing"",""จัดที่ดิน!I80"")"),0)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IFERROR(__xludf.DUMMYFUNCTION("IMPORTRANGE(""https://docs.google.com/spreadsheets/d/1XWAQStnk-4SwqDmLtmXYiTMKHgktTP8We1SCoS47DrQ/edit?usp=sharing"",""จัดที่ดิน!J80"")"),0)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IFERROR(__xludf.DUMMYFUNCTION("IMPORTRANGE(""https://docs.google.com/spreadsheets/d/1QqKyyYR6Q21VydFLVH3TRQUabQu_ym0Zz7PgGX0-kHA/edit?usp=sharing"",""แผน!EU80"")"),104)</f>
        <v>104</v>
      </c>
      <c r="J374" s="490">
        <f ca="1">J381</f>
        <v>5</v>
      </c>
      <c r="K374" s="491">
        <f t="shared" ca="1" si="163"/>
        <v>4.8076923076923075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IFERROR(__xludf.DUMMYFUNCTION("IMPORTRANGE(""https://docs.google.com/spreadsheets/d/1XWAQStnk-4SwqDmLtmXYiTMKHgktTP8We1SCoS47DrQ/edit?usp=sharing"",""จัดที่ดิน!AH80"")"),0)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IFERROR(__xludf.DUMMYFUNCTION("IMPORTRANGE(""https://docs.google.com/spreadsheets/d/1QqKyyYR6Q21VydFLVH3TRQUabQu_ym0Zz7PgGX0-kHA/edit?usp=sharing"",""แผน!ET80"")"),200)</f>
        <v>200</v>
      </c>
      <c r="J378" s="269">
        <f ca="1">IFERROR(__xludf.DUMMYFUNCTION("IMPORTRANGE(""https://docs.google.com/spreadsheets/d/1XWAQStnk-4SwqDmLtmXYiTMKHgktTP8We1SCoS47DrQ/edit?usp=sharing"",""จัดที่ดิน!AI80"")"),0)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IFERROR(__xludf.DUMMYFUNCTION("IMPORTRANGE(""https://docs.google.com/spreadsheets/d/1QqKyyYR6Q21VydFLVH3TRQUabQu_ym0Zz7PgGX0-kHA/edit?usp=sharing"",""แผน!EU80"")"),104)</f>
        <v>104</v>
      </c>
      <c r="J379" s="269">
        <f ca="1">IFERROR(__xludf.DUMMYFUNCTION("IMPORTRANGE(""https://docs.google.com/spreadsheets/d/1XWAQStnk-4SwqDmLtmXYiTMKHgktTP8We1SCoS47DrQ/edit?usp=sharing"",""จัดที่ดิน!AJ80"")"),5)</f>
        <v>5</v>
      </c>
      <c r="K379" s="497">
        <f t="shared" ca="1" si="164"/>
        <v>4.8076923076923075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IFERROR(__xludf.DUMMYFUNCTION("IMPORTRANGE(""https://docs.google.com/spreadsheets/d/1XWAQStnk-4SwqDmLtmXYiTMKHgktTP8We1SCoS47DrQ/edit?usp=sharing"",""จัดที่ดิน!AK80"")"),24.14)</f>
        <v>24.14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IFERROR(__xludf.DUMMYFUNCTION("IMPORTRANGE(""https://docs.google.com/spreadsheets/d/1QqKyyYR6Q21VydFLVH3TRQUabQu_ym0Zz7PgGX0-kHA/edit?usp=sharing"",""แผน!EU80"")"),104)</f>
        <v>104</v>
      </c>
      <c r="J381" s="269">
        <f ca="1">IFERROR(__xludf.DUMMYFUNCTION("IMPORTRANGE(""https://docs.google.com/spreadsheets/d/1XWAQStnk-4SwqDmLtmXYiTMKHgktTP8We1SCoS47DrQ/edit?usp=sharing"",""จัดที่ดิน!AL80"")"),5)</f>
        <v>5</v>
      </c>
      <c r="K381" s="497">
        <f t="shared" ca="1" si="164"/>
        <v>4.8076923076923075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IFERROR(__xludf.DUMMYFUNCTION("IMPORTRANGE(""https://docs.google.com/spreadsheets/d/1XWAQStnk-4SwqDmLtmXYiTMKHgktTP8We1SCoS47DrQ/edit?usp=sharing"",""จัดที่ดิน!AM80"")"),24.14)</f>
        <v>24.14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IFERROR(__xludf.DUMMYFUNCTION("IMPORTRANGE(""https://docs.google.com/spreadsheets/d/1QqKyyYR6Q21VydFLVH3TRQUabQu_ym0Zz7PgGX0-kHA/edit?usp=sharing"",""แผน!EW80"")"),0)</f>
        <v>0</v>
      </c>
      <c r="J385" s="500">
        <f ca="1">IFERROR(__xludf.DUMMYFUNCTION("IMPORTRANGE(""https://docs.google.com/spreadsheets/d/1XWAQStnk-4SwqDmLtmXYiTMKHgktTP8We1SCoS47DrQ/edit?usp=sharing"",""จัดที่ดิน!AP80"")"),0)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492426</v>
      </c>
      <c r="M414" s="548">
        <f t="shared" si="181"/>
        <v>0</v>
      </c>
      <c r="N414" s="548">
        <f t="shared" si="181"/>
        <v>94013</v>
      </c>
      <c r="O414" s="548">
        <f ca="1">IF(L414&gt;0,N414*100/L414,0)</f>
        <v>19.091802626181394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si="184"/>
        <v>0</v>
      </c>
      <c r="N419" s="155">
        <f t="shared" si="184"/>
        <v>9220</v>
      </c>
      <c r="O419" s="155">
        <f t="shared" ref="O419:O424" ca="1" si="185">IF(L419&gt;0,N419*100/L419,0)</f>
        <v>13.852163461538462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66560</v>
      </c>
      <c r="M421" s="93">
        <f t="shared" si="187"/>
        <v>0</v>
      </c>
      <c r="N421" s="93">
        <f t="shared" si="187"/>
        <v>9220</v>
      </c>
      <c r="O421" s="93">
        <f t="shared" ca="1" si="185"/>
        <v>13.852163461538462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si="188"/>
        <v>0</v>
      </c>
      <c r="N422" s="497">
        <f t="shared" si="188"/>
        <v>9220</v>
      </c>
      <c r="O422" s="497">
        <f t="shared" ca="1" si="185"/>
        <v>13.852163461538462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v>0</v>
      </c>
      <c r="N424" s="93">
        <f>N425+N426+N427+N428</f>
        <v>9220</v>
      </c>
      <c r="O424" s="93">
        <f t="shared" ca="1" si="185"/>
        <v>13.852163461538462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9220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IFERROR(__xludf.DUMMYFUNCTION("IMPORTRANGE(""https://docs.google.com/spreadsheets/d/1QqKyyYR6Q21VydFLVH3TRQUabQu_ym0Zz7PgGX0-kHA/edit?usp=sharing"",""แผน!FC80"")"),15)</f>
        <v>15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IFERROR(__xludf.DUMMYFUNCTION("IMPORTRANGE(""https://docs.google.com/spreadsheets/d/1QqKyyYR6Q21VydFLVH3TRQUabQu_ym0Zz7PgGX0-kHA/edit?usp=sharing"",""แผน!FD80"")"),0)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IFERROR(__xludf.DUMMYFUNCTION("IMPORTRANGE(""https://docs.google.com/spreadsheets/d/1QqKyyYR6Q21VydFLVH3TRQUabQu_ym0Zz7PgGX0-kHA/edit?usp=sharing"",""แผน!FE80"")"),0)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IFERROR(__xludf.DUMMYFUNCTION("IMPORTRANGE(""https://docs.google.com/spreadsheets/d/1QqKyyYR6Q21VydFLVH3TRQUabQu_ym0Zz7PgGX0-kHA/edit?usp=sharing"",""แผน!FF80"")"),15)</f>
        <v>15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IFERROR(__xludf.DUMMYFUNCTION("IMPORTRANGE(""https://docs.google.com/spreadsheets/d/1QqKyyYR6Q21VydFLVH3TRQUabQu_ym0Zz7PgGX0-kHA/edit?usp=sharing"",""แผน!FG80"")"),1)</f>
        <v>1</v>
      </c>
      <c r="J440" s="214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IFERROR(__xludf.DUMMYFUNCTION("IMPORTRANGE(""https://docs.google.com/spreadsheets/d/1QqKyyYR6Q21VydFLVH3TRQUabQu_ym0Zz7PgGX0-kHA/edit?usp=sharing"",""แผน!FH80"")"),0)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69160</v>
      </c>
      <c r="M444" s="195">
        <f t="shared" si="197"/>
        <v>0</v>
      </c>
      <c r="N444" s="195">
        <f t="shared" si="197"/>
        <v>6500</v>
      </c>
      <c r="O444" s="195">
        <f t="shared" ref="O444:O449" ca="1" si="198">IF(L444&gt;0,N444*100/L444,0)</f>
        <v>9.3984962406015029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69160</v>
      </c>
      <c r="M446" s="93">
        <f t="shared" si="200"/>
        <v>0</v>
      </c>
      <c r="N446" s="93">
        <f t="shared" si="200"/>
        <v>6500</v>
      </c>
      <c r="O446" s="93">
        <f t="shared" ca="1" si="198"/>
        <v>9.3984962406015029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69160</v>
      </c>
      <c r="M447" s="497">
        <f t="shared" si="201"/>
        <v>0</v>
      </c>
      <c r="N447" s="497">
        <f t="shared" si="201"/>
        <v>6500</v>
      </c>
      <c r="O447" s="497">
        <f t="shared" ca="1" si="198"/>
        <v>9.3984962406015029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v>0</v>
      </c>
      <c r="N449" s="93">
        <f>N450+N451+N452+N453</f>
        <v>6500</v>
      </c>
      <c r="O449" s="93">
        <f t="shared" ca="1" si="198"/>
        <v>9.3984962406015029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6500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IFERROR(__xludf.DUMMYFUNCTION("IMPORTRANGE(""https://docs.google.com/spreadsheets/d/1QqKyyYR6Q21VydFLVH3TRQUabQu_ym0Zz7PgGX0-kHA/edit?usp=sharing"",""แผน!FN80"")"),10)</f>
        <v>10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IFERROR(__xludf.DUMMYFUNCTION("IMPORTRANGE(""https://docs.google.com/spreadsheets/d/1QqKyyYR6Q21VydFLVH3TRQUabQu_ym0Zz7PgGX0-kHA/edit?usp=sharing"",""แผน!FO80"")"),20)</f>
        <v>20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IFERROR(__xludf.DUMMYFUNCTION("IMPORTRANGE(""https://docs.google.com/spreadsheets/d/1QqKyyYR6Q21VydFLVH3TRQUabQu_ym0Zz7PgGX0-kHA/edit?usp=sharing"",""แผน!FO80"")"),20)</f>
        <v>20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IFERROR(__xludf.DUMMYFUNCTION("IMPORTRANGE(""https://docs.google.com/spreadsheets/d/1QqKyyYR6Q21VydFLVH3TRQUabQu_ym0Zz7PgGX0-kHA/edit?usp=sharing"",""แผน!FN80"")"),10)</f>
        <v>10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IFERROR(__xludf.DUMMYFUNCTION("IMPORTRANGE(""https://docs.google.com/spreadsheets/d/1QqKyyYR6Q21VydFLVH3TRQUabQu_ym0Zz7PgGX0-kHA/edit?usp=sharing"",""แผน!FX80"")"),11)</f>
        <v>11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IFERROR(__xludf.DUMMYFUNCTION("IMPORTRANGE(""https://docs.google.com/spreadsheets/d/1QqKyyYR6Q21VydFLVH3TRQUabQu_ym0Zz7PgGX0-kHA/edit?usp=sharing"",""แผน!FW80"")"),100)</f>
        <v>100</v>
      </c>
      <c r="J466" s="564">
        <f>J483+J487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98283</v>
      </c>
      <c r="M467" s="195">
        <f t="shared" si="206"/>
        <v>0</v>
      </c>
      <c r="N467" s="195">
        <f t="shared" si="206"/>
        <v>17440</v>
      </c>
      <c r="O467" s="195">
        <f t="shared" ref="O467:O472" ca="1" si="207">IF(L467&gt;0,N467*100/L467,0)</f>
        <v>17.744676088438489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98283</v>
      </c>
      <c r="M469" s="93">
        <f t="shared" si="209"/>
        <v>0</v>
      </c>
      <c r="N469" s="93">
        <f t="shared" si="209"/>
        <v>17440</v>
      </c>
      <c r="O469" s="93">
        <f t="shared" ca="1" si="207"/>
        <v>17.744676088438489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98283</v>
      </c>
      <c r="M470" s="497">
        <f t="shared" si="210"/>
        <v>0</v>
      </c>
      <c r="N470" s="497">
        <f t="shared" si="210"/>
        <v>17440</v>
      </c>
      <c r="O470" s="497">
        <f t="shared" ca="1" si="207"/>
        <v>17.744676088438489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IFERROR(__xludf.DUMMYFUNCTION("IMPORTRANGE(""https://docs.google.com/spreadsheets/d/1QqKyyYR6Q21VydFLVH3TRQUabQu_ym0Zz7PgGX0-kHA/edit?usp=sharing"",""แผน!FS80"")"),98283)</f>
        <v>98283</v>
      </c>
      <c r="M472" s="93">
        <v>0</v>
      </c>
      <c r="N472" s="93">
        <f>N473+N474+N475+N476</f>
        <v>17440</v>
      </c>
      <c r="O472" s="93">
        <f t="shared" ca="1" si="207"/>
        <v>17.744676088438489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16040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500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900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IFERROR(__xludf.DUMMYFUNCTION("IMPORTRANGE(""https://docs.google.com/spreadsheets/d/1QqKyyYR6Q21VydFLVH3TRQUabQu_ym0Zz7PgGX0-kHA/edit?usp=sharing"",""แผน!FY80"")"),90)</f>
        <v>90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IFERROR(__xludf.DUMMYFUNCTION("IMPORTRANGE(""https://docs.google.com/spreadsheets/d/1QqKyyYR6Q21VydFLVH3TRQUabQu_ym0Zz7PgGX0-kHA/edit?usp=sharing"",""แผน!FZ80"")"),9)</f>
        <v>9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IFERROR(__xludf.DUMMYFUNCTION("IMPORTRANGE(""https://docs.google.com/spreadsheets/d/1QqKyyYR6Q21VydFLVH3TRQUabQu_ym0Zz7PgGX0-kHA/edit?usp=sharing"",""แผน!GA80"")"),10)</f>
        <v>10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IFERROR(__xludf.DUMMYFUNCTION("IMPORTRANGE(""https://docs.google.com/spreadsheets/d/1QqKyyYR6Q21VydFLVH3TRQUabQu_ym0Zz7PgGX0-kHA/edit?usp=sharing"",""แผน!GB80"")"),1)</f>
        <v>1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IFERROR(__xludf.DUMMYFUNCTION("IMPORTRANGE(""https://docs.google.com/spreadsheets/d/1QqKyyYR6Q21VydFLVH3TRQUabQu_ym0Zz7PgGX0-kHA/edit?usp=sharing"",""แผน!GC80"")"),1)</f>
        <v>1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IFERROR(__xludf.DUMMYFUNCTION("IMPORTRANGE(""https://docs.google.com/spreadsheets/d/1QqKyyYR6Q21VydFLVH3TRQUabQu_ym0Zz7PgGX0-kHA/edit?usp=sharing"",""แผน!FY80"")"),90)</f>
        <v>90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IFERROR(__xludf.DUMMYFUNCTION("IMPORTRANGE(""https://docs.google.com/spreadsheets/d/1QqKyyYR6Q21VydFLVH3TRQUabQu_ym0Zz7PgGX0-kHA/edit?usp=sharing"",""แผน!GA80"")"),10)</f>
        <v>10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IFERROR(__xludf.DUMMYFUNCTION("IMPORTRANGE(""https://docs.google.com/spreadsheets/d/1QqKyyYR6Q21VydFLVH3TRQUabQu_ym0Zz7PgGX0-kHA/edit?usp=sharing"",""แผน!GU80"")"),0)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IFERROR(__xludf.DUMMYFUNCTION("IMPORTRANGE(""https://docs.google.com/spreadsheets/d/1QqKyyYR6Q21VydFLVH3TRQUabQu_ym0Zz7PgGX0-kHA/edit?usp=sharing"",""แผน!GV80"")"),0)</f>
        <v>0</v>
      </c>
      <c r="J538" s="214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IFERROR(__xludf.DUMMYFUNCTION("IMPORTRANGE(""https://docs.google.com/spreadsheets/d/1QqKyyYR6Q21VydFLVH3TRQUabQu_ym0Zz7PgGX0-kHA/edit?usp=sharing"",""แผน!GW80"")"),0)</f>
        <v>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IFERROR(__xludf.DUMMYFUNCTION("IMPORTRANGE(""https://docs.google.com/spreadsheets/d/1QqKyyYR6Q21VydFLVH3TRQUabQu_ym0Zz7PgGX0-kHA/edit?usp=sharing"",""แผน!GX80"")"),0)</f>
        <v>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IFERROR(__xludf.DUMMYFUNCTION("IMPORTRANGE(""https://docs.google.com/spreadsheets/d/1QqKyyYR6Q21VydFLVH3TRQUabQu_ym0Zz7PgGX0-kHA/edit?usp=sharing"",""แผน!GY80"")"),0)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IFERROR(__xludf.DUMMYFUNCTION("IMPORTRANGE(""https://docs.google.com/spreadsheets/d/1QqKyyYR6Q21VydFLVH3TRQUabQu_ym0Zz7PgGX0-kHA/edit?usp=sharing"",""แผน!GZ80"")"),0)</f>
        <v>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6591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223863</v>
      </c>
      <c r="M544" s="155">
        <f t="shared" si="236"/>
        <v>0</v>
      </c>
      <c r="N544" s="155">
        <f t="shared" si="236"/>
        <v>53000</v>
      </c>
      <c r="O544" s="155">
        <f t="shared" ref="O544:O549" ca="1" si="237">IF(L544&gt;0,N544*100/L544,0)</f>
        <v>23.675194203597737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223863</v>
      </c>
      <c r="M546" s="93">
        <f t="shared" si="240"/>
        <v>0</v>
      </c>
      <c r="N546" s="93">
        <f t="shared" si="240"/>
        <v>53000</v>
      </c>
      <c r="O546" s="93">
        <f t="shared" ca="1" si="237"/>
        <v>23.675194203597737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223863</v>
      </c>
      <c r="M547" s="497">
        <f t="shared" si="241"/>
        <v>0</v>
      </c>
      <c r="N547" s="497">
        <f t="shared" si="241"/>
        <v>53000</v>
      </c>
      <c r="O547" s="497">
        <f t="shared" ca="1" si="237"/>
        <v>23.675194203597737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IFERROR(__xludf.DUMMYFUNCTION("IMPORTRANGE(""https://docs.google.com/spreadsheets/d/1QqKyyYR6Q21VydFLVH3TRQUabQu_ym0Zz7PgGX0-kHA/edit?usp=sharing"",""แผน!HB80"")"),223863)</f>
        <v>223863</v>
      </c>
      <c r="M549" s="93">
        <v>0</v>
      </c>
      <c r="N549" s="93">
        <f>N550+N551+N552+N553+N554</f>
        <v>53000</v>
      </c>
      <c r="O549" s="93">
        <f t="shared" ca="1" si="237"/>
        <v>23.675194203597737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/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26000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27000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6591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 hidden="1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IFERROR(__xludf.DUMMYFUNCTION("IMPORTRANGE(""https://docs.google.com/spreadsheets/d/1QqKyyYR6Q21VydFLVH3TRQUabQu_ym0Zz7PgGX0-kHA/edit?usp=sharing"",""แผน!HJ80"")"),0)</f>
        <v>0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 hidden="1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IFERROR(__xludf.DUMMYFUNCTION("IMPORTRANGE(""https://docs.google.com/spreadsheets/d/1QqKyyYR6Q21VydFLVH3TRQUabQu_ym0Zz7PgGX0-kHA/edit?usp=sharing"",""แผน!HI80"")"),0)</f>
        <v>0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 hidden="1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 hidden="1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 hidden="1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 hidden="1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 hidden="1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 hidden="1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 hidden="1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 hidden="1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 hidden="1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 hidden="1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 hidden="1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 hidden="1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 hidden="1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 hidden="1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 hidden="1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 hidden="1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IFERROR(__xludf.DUMMYFUNCTION("IMPORTRANGE(""https://docs.google.com/spreadsheets/d/1QqKyyYR6Q21VydFLVH3TRQUabQu_ym0Zz7PgGX0-kHA/edit?usp=sharing"",""แผน!HL80"")"),0)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IFERROR(__xludf.DUMMYFUNCTION("IMPORTRANGE(""https://docs.google.com/spreadsheets/d/1QqKyyYR6Q21VydFLVH3TRQUabQu_ym0Zz7PgGX0-kHA/edit?usp=sharing"",""แผน!HK80"")"),0)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IFERROR(__xludf.DUMMYFUNCTION("IMPORTRANGE(""https://docs.google.com/spreadsheets/d/1QqKyyYR6Q21VydFLVH3TRQUabQu_ym0Zz7PgGX0-kHA/edit?usp=sharing"",""แผน!HR80"")"),0)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IFERROR(__xludf.DUMMYFUNCTION("IMPORTRANGE(""https://docs.google.com/spreadsheets/d/1QqKyyYR6Q21VydFLVH3TRQUabQu_ym0Zz7PgGX0-kHA/edit?usp=sharing"",""แผน!HR80"")"),0)</f>
        <v>0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IFERROR(__xludf.DUMMYFUNCTION("IMPORTRANGE(""https://docs.google.com/spreadsheets/d/1XWAQStnk-4SwqDmLtmXYiTMKHgktTP8We1SCoS47DrQ/edit?usp=sharing"",""จัดที่ดิน!AT80"")"),0)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IFERROR(__xludf.DUMMYFUNCTION("IMPORTRANGE(""https://docs.google.com/spreadsheets/d/1QqKyyYR6Q21VydFLVH3TRQUabQu_ym0Zz7PgGX0-kHA/edit?usp=sharing"",""แผน!HS80"")"),0)</f>
        <v>0</v>
      </c>
      <c r="J647" s="269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IFERROR(__xludf.DUMMYFUNCTION("IMPORTRANGE(""https://docs.google.com/spreadsheets/d/1XWAQStnk-4SwqDmLtmXYiTMKHgktTP8We1SCoS47DrQ/edit?usp=sharing"",""จัดที่ดิน!AV80"")"),0)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IFERROR(__xludf.DUMMYFUNCTION("IMPORTRANGE(""https://docs.google.com/spreadsheets/d/1QqKyyYR6Q21VydFLVH3TRQUabQu_ym0Zz7PgGX0-kHA/edit?usp=sharing"",""แผน!HS80"")"),0)</f>
        <v>0</v>
      </c>
      <c r="J649" s="269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IFERROR(__xludf.DUMMYFUNCTION("IMPORTRANGE(""https://docs.google.com/spreadsheets/d/1XWAQStnk-4SwqDmLtmXYiTMKHgktTP8We1SCoS47DrQ/edit?usp=sharing"",""จัดที่ดิน!AX80"")"),0)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IFERROR(__xludf.DUMMYFUNCTION("IMPORTRANGE(""https://docs.google.com/spreadsheets/d/1QqKyyYR6Q21VydFLVH3TRQUabQu_ym0Zz7PgGX0-kHA/edit?usp=sharing"",""แผน!HS80"")"),0)</f>
        <v>0</v>
      </c>
      <c r="J651" s="269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IFERROR(__xludf.DUMMYFUNCTION("IMPORTRANGE(""https://docs.google.com/spreadsheets/d/1XWAQStnk-4SwqDmLtmXYiTMKHgktTP8We1SCoS47DrQ/edit?usp=sharing"",""จัดที่ดิน!AZ80"")"),0)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50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11000</v>
      </c>
      <c r="M655" s="195">
        <f t="shared" si="273"/>
        <v>0</v>
      </c>
      <c r="N655" s="195">
        <f t="shared" si="273"/>
        <v>6853</v>
      </c>
      <c r="O655" s="195">
        <f t="shared" ref="O655:O660" ca="1" si="274">IF(L655&gt;0,N655*100/L655,0)</f>
        <v>62.3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11000</v>
      </c>
      <c r="M657" s="93">
        <f t="shared" si="276"/>
        <v>0</v>
      </c>
      <c r="N657" s="93">
        <f t="shared" si="276"/>
        <v>6853</v>
      </c>
      <c r="O657" s="93">
        <f t="shared" ca="1" si="274"/>
        <v>62.3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si="277"/>
        <v>0</v>
      </c>
      <c r="N658" s="497">
        <f t="shared" si="277"/>
        <v>6853</v>
      </c>
      <c r="O658" s="497">
        <f t="shared" ca="1" si="274"/>
        <v>62.3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v>0</v>
      </c>
      <c r="N660" s="93">
        <f>N661+N662+N663+N664</f>
        <v>6853</v>
      </c>
      <c r="O660" s="93">
        <f t="shared" ca="1" si="274"/>
        <v>62.3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6853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IFERROR(__xludf.DUMMYFUNCTION("IMPORTRANGE(""https://docs.google.com/spreadsheets/d/1QqKyyYR6Q21VydFLVH3TRQUabQu_ym0Zz7PgGX0-kHA/edit?usp=sharing"",""แผน!IA80"")"),50)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IFERROR(__xludf.DUMMYFUNCTION("IMPORTRANGE(""https://docs.google.com/spreadsheets/d/1QqKyyYR6Q21VydFLVH3TRQUabQu_ym0Zz7PgGX0-kHA/edit?usp=sharing"",""แผน!HZ80"")"),5)</f>
        <v>5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IFERROR(__xludf.DUMMYFUNCTION("IMPORTRANGE(""https://docs.google.com/spreadsheets/d/1QqKyyYR6Q21VydFLVH3TRQUabQu_ym0Zz7PgGX0-kHA/edit?usp=sharing"",""แผน!HZ80"")"),5)</f>
        <v>5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IFERROR(__xludf.DUMMYFUNCTION("IMPORTRANGE(""https://docs.google.com/spreadsheets/d/1QqKyyYR6Q21VydFLVH3TRQUabQu_ym0Zz7PgGX0-kHA/edit?usp=sharing"",""แผน!IB80"")"),0)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23560</v>
      </c>
      <c r="M685" s="195">
        <f t="shared" si="282"/>
        <v>0</v>
      </c>
      <c r="N685" s="195">
        <f t="shared" si="282"/>
        <v>1000</v>
      </c>
      <c r="O685" s="195">
        <f t="shared" ref="O685:O688" ca="1" si="283">IF(L685&gt;0,N685*100/L685,0)</f>
        <v>4.2444821731748723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23560</v>
      </c>
      <c r="M687" s="93">
        <f t="shared" si="285"/>
        <v>0</v>
      </c>
      <c r="N687" s="93">
        <f t="shared" si="285"/>
        <v>1000</v>
      </c>
      <c r="O687" s="93">
        <f t="shared" ca="1" si="283"/>
        <v>4.2444821731748723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23560</v>
      </c>
      <c r="M688" s="497">
        <f t="shared" si="286"/>
        <v>0</v>
      </c>
      <c r="N688" s="497">
        <f t="shared" si="286"/>
        <v>1000</v>
      </c>
      <c r="O688" s="497">
        <f t="shared" ca="1" si="283"/>
        <v>4.2444821731748723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v>0</v>
      </c>
      <c r="N690" s="93">
        <f>N691+N692+N693+N694</f>
        <v>1000</v>
      </c>
      <c r="O690" s="93">
        <f ca="1">IF(L690&gt;0,N690*100/L690,0)</f>
        <v>4.2444821731748723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1000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IFERROR(__xludf.DUMMYFUNCTION("IMPORTRANGE(""https://docs.google.com/spreadsheets/d/1QqKyyYR6Q21VydFLVH3TRQUabQu_ym0Zz7PgGX0-kHA/edit?usp=sharing"",""แผน!IC80"")"),0)</f>
        <v>0</v>
      </c>
      <c r="J699" s="269">
        <f ca="1">IFERROR(__xludf.DUMMYFUNCTION("IMPORTRANGE(""https://docs.google.com/spreadsheets/d/1XWAQStnk-4SwqDmLtmXYiTMKHgktTP8We1SCoS47DrQ/edit?usp=sharing"",""จัดที่ดิน!BB80"")"),0)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IFERROR(__xludf.DUMMYFUNCTION("IMPORTRANGE(""https://docs.google.com/spreadsheets/d/1QqKyyYR6Q21VydFLVH3TRQUabQu_ym0Zz7PgGX0-kHA/edit?usp=sharing"",""แผน!ID80"")"),1)</f>
        <v>1</v>
      </c>
      <c r="J700" s="269">
        <f ca="1">IFERROR(__xludf.DUMMYFUNCTION("IMPORTRANGE(""https://docs.google.com/spreadsheets/d/1XWAQStnk-4SwqDmLtmXYiTMKHgktTP8We1SCoS47DrQ/edit?usp=sharing"",""จัดที่ดิน!BD80"")"),0)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IFERROR(__xludf.DUMMYFUNCTION("IMPORTRANGE(""https://docs.google.com/spreadsheets/d/1QqKyyYR6Q21VydFLVH3TRQUabQu_ym0Zz7PgGX0-kHA/edit?usp=sharing"",""แผน!IE80"")"),0)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IFERROR(__xludf.DUMMYFUNCTION("IMPORTRANGE(""https://docs.google.com/spreadsheets/d/1QqKyyYR6Q21VydFLVH3TRQUabQu_ym0Zz7PgGX0-kHA/edit?usp=sharing"",""แผน!IF80"")"),0)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IFERROR(__xludf.DUMMYFUNCTION("IMPORTRANGE(""https://docs.google.com/spreadsheets/d/1QqKyyYR6Q21VydFLVH3TRQUabQu_ym0Zz7PgGX0-kHA/edit?usp=sharing"",""แผน!IG80"")"),0)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IFERROR(__xludf.DUMMYFUNCTION("IMPORTRANGE(""https://docs.google.com/spreadsheets/d/1QqKyyYR6Q21VydFLVH3TRQUabQu_ym0Zz7PgGX0-kHA/edit?usp=sharing"",""แผน!IH80"")"),0)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IFERROR(__xludf.DUMMYFUNCTION("IMPORTRANGE(""https://docs.google.com/spreadsheets/d/1XWAQStnk-4SwqDmLtmXYiTMKHgktTP8We1SCoS47DrQ/edit?usp=sharing"",""จัดที่ดิน!BF80"")"),0)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IFERROR(__xludf.DUMMYFUNCTION("IMPORTRANGE(""https://docs.google.com/spreadsheets/d/1XWAQStnk-4SwqDmLtmXYiTMKHgktTP8We1SCoS47DrQ/edit?usp=sharing"",""จัดที่ดิน!BG80"")"),0)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IFERROR(__xludf.DUMMYFUNCTION("IMPORTRANGE(""https://docs.google.com/spreadsheets/d/1QqKyyYR6Q21VydFLVH3TRQUabQu_ym0Zz7PgGX0-kHA/edit?usp=sharing"",""แผน!II80"")"),0)</f>
        <v>0</v>
      </c>
      <c r="J720" s="269">
        <f ca="1">IFERROR(__xludf.DUMMYFUNCTION("IMPORTRANGE(""https://docs.google.com/spreadsheets/d/1XWAQStnk-4SwqDmLtmXYiTMKHgktTP8We1SCoS47DrQ/edit?usp=sharing"",""จัดที่ดิน!BH80"")"),0)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IFERROR(__xludf.DUMMYFUNCTION("IMPORTRANGE(""https://docs.google.com/spreadsheets/d/1QqKyyYR6Q21VydFLVH3TRQUabQu_ym0Zz7PgGX0-kHA/edit?usp=sharing"",""แผน!IJ80"")"),87)</f>
        <v>87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IFERROR(__xludf.DUMMYFUNCTION("IMPORTRANGE(""https://docs.google.com/spreadsheets/d/1QqKyyYR6Q21VydFLVH3TRQUabQu_ym0Zz7PgGX0-kHA/edit?usp=sharing"",""แผน!IK80"")"),332)</f>
        <v>332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IFERROR(__xludf.DUMMYFUNCTION("IMPORTRANGE(""https://docs.google.com/spreadsheets/d/1QqKyyYR6Q21VydFLVH3TRQUabQu_ym0Zz7PgGX0-kHA/edit?usp=sharing"",""แผน!IL80"")"),50)</f>
        <v>50</v>
      </c>
      <c r="J723" s="269">
        <f ca="1">IFERROR(__xludf.DUMMYFUNCTION("IMPORTRANGE(""https://docs.google.com/spreadsheets/d/1XWAQStnk-4SwqDmLtmXYiTMKHgktTP8We1SCoS47DrQ/edit?usp=sharing"",""จัดที่ดิน!BM80"")"),0)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IFERROR(__xludf.DUMMYFUNCTION("IMPORTRANGE(""https://docs.google.com/spreadsheets/d/1XWAQStnk-4SwqDmLtmXYiTMKHgktTP8We1SCoS47DrQ/edit?usp=sharing"",""จัดที่ดิน!BN80"")"),0)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IFERROR(__xludf.DUMMYFUNCTION("IMPORTRANGE(""https://docs.google.com/spreadsheets/d/1QqKyyYR6Q21VydFLVH3TRQUabQu_ym0Zz7PgGX0-kHA/edit?usp=sharing"",""แผน!IM80"")"),212)</f>
        <v>212</v>
      </c>
      <c r="J725" s="269">
        <f ca="1">IFERROR(__xludf.DUMMYFUNCTION("IMPORTRANGE(""https://docs.google.com/spreadsheets/d/1XWAQStnk-4SwqDmLtmXYiTMKHgktTP8We1SCoS47DrQ/edit?usp=sharing"",""จัดที่ดิน!BO80"")"),0)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IFERROR(__xludf.DUMMYFUNCTION("IMPORTRANGE(""https://docs.google.com/spreadsheets/d/1QqKyyYR6Q21VydFLVH3TRQUabQu_ym0Zz7PgGX0-kHA/edit?usp=sharing"",""แผน!IN80"")"),37)</f>
        <v>37</v>
      </c>
      <c r="J726" s="269">
        <f ca="1">IFERROR(__xludf.DUMMYFUNCTION("IMPORTRANGE(""https://docs.google.com/spreadsheets/d/1XWAQStnk-4SwqDmLtmXYiTMKHgktTP8We1SCoS47DrQ/edit?usp=sharing"",""จัดที่ดิน!BR80"")"),0)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IFERROR(__xludf.DUMMYFUNCTION("IMPORTRANGE(""https://docs.google.com/spreadsheets/d/1XWAQStnk-4SwqDmLtmXYiTMKHgktTP8We1SCoS47DrQ/edit?usp=sharing"",""จัดที่ดิน!BS80"")"),0)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IFERROR(__xludf.DUMMYFUNCTION("IMPORTRANGE(""https://docs.google.com/spreadsheets/d/1QqKyyYR6Q21VydFLVH3TRQUabQu_ym0Zz7PgGX0-kHA/edit?usp=sharing"",""แผน!IO80"")"),120)</f>
        <v>120</v>
      </c>
      <c r="J728" s="269">
        <f ca="1">IFERROR(__xludf.DUMMYFUNCTION("IMPORTRANGE(""https://docs.google.com/spreadsheets/d/1XWAQStnk-4SwqDmLtmXYiTMKHgktTP8We1SCoS47DrQ/edit?usp=sharing"",""จัดที่ดิน!BT80"")"),0)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IFERROR(__xludf.DUMMYFUNCTION("IMPORTRANGE(""https://docs.google.com/spreadsheets/d/1QqKyyYR6Q21VydFLVH3TRQUabQu_ym0Zz7PgGX0-kHA/edit?usp=sharing"",""แผน!IP80"")"),0)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IFERROR(__xludf.DUMMYFUNCTION("IMPORTRANGE(""https://docs.google.com/spreadsheets/d/1MaWodYyGHDf7siQLGxnXhG4mBNTNIuy296niS2xXulU/edit?usp=sharing"",""RTK!I80"")"),0)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341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69">
        <f ca="1">IFERROR(__xludf.DUMMYFUNCTION("IMPORTRANGE(""https://docs.google.com/spreadsheets/d/19vJNZY_5yjcGF2XGBMNZRCAIB0Kwfpjp8YEOfu-bneM/edit?usp=sharing"",""งานกองทุน!F80"")"),8393.01)</f>
        <v>8393.01</v>
      </c>
      <c r="K821" s="497">
        <f t="shared" ref="K821:K828" ca="1" si="335">IF(I821&gt;0,J821*100/I821,0)</f>
        <v>1.7735138645596566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IFERROR(__xludf.DUMMYFUNCTION("IMPORTRANGE(""https://docs.google.com/spreadsheets/d/19vJNZY_5yjcGF2XGBMNZRCAIB0Kwfpjp8YEOfu-bneM/edit?usp=sharing"",""งานกองทุน!C80"")"),31)</f>
        <v>31</v>
      </c>
      <c r="J822" s="269">
        <f ca="1">IFERROR(__xludf.DUMMYFUNCTION("IMPORTRANGE(""https://docs.google.com/spreadsheets/d/19vJNZY_5yjcGF2XGBMNZRCAIB0Kwfpjp8YEOfu-bneM/edit?usp=sharing"",""งานกองทุน!E80"")"),3)</f>
        <v>3</v>
      </c>
      <c r="K822" s="497">
        <f t="shared" ca="1" si="335"/>
        <v>9.67741935483871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69">
        <f ca="1">IFERROR(__xludf.DUMMYFUNCTION("IMPORTRANGE(""https://docs.google.com/spreadsheets/d/19vJNZY_5yjcGF2XGBMNZRCAIB0Kwfpjp8YEOfu-bneM/edit?usp=sharing"",""งานกองทุน!K80"")"),39305.32)</f>
        <v>39305.32</v>
      </c>
      <c r="K823" s="497">
        <f t="shared" ca="1" si="335"/>
        <v>2.0879058746016437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IFERROR(__xludf.DUMMYFUNCTION("IMPORTRANGE(""https://docs.google.com/spreadsheets/d/19vJNZY_5yjcGF2XGBMNZRCAIB0Kwfpjp8YEOfu-bneM/edit?usp=sharing"",""งานกองทุน!H80"")"),131)</f>
        <v>131</v>
      </c>
      <c r="J824" s="269">
        <f ca="1">IFERROR(__xludf.DUMMYFUNCTION("IMPORTRANGE(""https://docs.google.com/spreadsheets/d/19vJNZY_5yjcGF2XGBMNZRCAIB0Kwfpjp8YEOfu-bneM/edit?usp=sharing"",""งานกองทุน!J80"")"),92)</f>
        <v>92</v>
      </c>
      <c r="K824" s="497">
        <f t="shared" ca="1" si="335"/>
        <v>70.229007633587784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IFERROR(__xludf.DUMMYFUNCTION("IMPORTRANGE(""https://docs.google.com/spreadsheets/d/19vJNZY_5yjcGF2XGBMNZRCAIB0Kwfpjp8YEOfu-bneM/edit?usp=sharing"",""งานกองทุน!N80"")"),26632.55)</f>
        <v>26632.55</v>
      </c>
      <c r="J825" s="269">
        <f ca="1">IFERROR(__xludf.DUMMYFUNCTION("IMPORTRANGE(""https://docs.google.com/spreadsheets/d/19vJNZY_5yjcGF2XGBMNZRCAIB0Kwfpjp8YEOfu-bneM/edit?usp=sharing"",""งานกองทุน!P80"")"),0)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IFERROR(__xludf.DUMMYFUNCTION("IMPORTRANGE(""https://docs.google.com/spreadsheets/d/19vJNZY_5yjcGF2XGBMNZRCAIB0Kwfpjp8YEOfu-bneM/edit?usp=sharing"",""งานกองทุน!M80"")"),83)</f>
        <v>83</v>
      </c>
      <c r="J826" s="269">
        <f ca="1">IFERROR(__xludf.DUMMYFUNCTION("IMPORTRANGE(""https://docs.google.com/spreadsheets/d/19vJNZY_5yjcGF2XGBMNZRCAIB0Kwfpjp8YEOfu-bneM/edit?usp=sharing"",""งานกองทุน!O80"")"),0)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IFERROR(__xludf.DUMMYFUNCTION("IMPORTRANGE(""https://docs.google.com/spreadsheets/d/19vJNZY_5yjcGF2XGBMNZRCAIB0Kwfpjp8YEOfu-bneM/edit?usp=sharing"",""งานกองทุน!S80"")"),300000)</f>
        <v>300000</v>
      </c>
      <c r="J827" s="269">
        <f ca="1">IFERROR(__xludf.DUMMYFUNCTION("IMPORTRANGE(""https://docs.google.com/spreadsheets/d/19vJNZY_5yjcGF2XGBMNZRCAIB0Kwfpjp8YEOfu-bneM/edit?usp=sharing"",""งานกองทุน!U80"")"),0)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IFERROR(__xludf.DUMMYFUNCTION("IMPORTRANGE(""https://docs.google.com/spreadsheets/d/19vJNZY_5yjcGF2XGBMNZRCAIB0Kwfpjp8YEOfu-bneM/edit?usp=sharing"",""งานกองทุน!R80"")"),7)</f>
        <v>7</v>
      </c>
      <c r="J828" s="500">
        <f ca="1">IFERROR(__xludf.DUMMYFUNCTION("IMPORTRANGE(""https://docs.google.com/spreadsheets/d/19vJNZY_5yjcGF2XGBMNZRCAIB0Kwfpjp8YEOfu-bneM/edit?usp=sharing"",""งานกองทุน!T80"")"),0)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8E4C-E602-4C16-9ED5-8CE1B2E50CD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343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7739298</v>
      </c>
      <c r="M8" s="22">
        <f t="shared" ca="1" si="0"/>
        <v>5902949</v>
      </c>
      <c r="N8" s="22">
        <f t="shared" ca="1" si="0"/>
        <v>565337.27</v>
      </c>
      <c r="O8" s="22">
        <f t="shared" ref="O8:O16" ca="1" si="1">IF(L8&gt;0,N8*100/L8,0)</f>
        <v>7.3047616204983967</v>
      </c>
      <c r="P8" s="22">
        <f t="shared" ref="P8:P16" ca="1" si="2">IF(M8&gt;0,N8*100/M8,0)</f>
        <v>9.5772006500479669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7739298</v>
      </c>
      <c r="M10" s="30">
        <f t="shared" ca="1" si="3"/>
        <v>5902949</v>
      </c>
      <c r="N10" s="30">
        <f t="shared" ca="1" si="3"/>
        <v>565337.27</v>
      </c>
      <c r="O10" s="30">
        <f t="shared" ca="1" si="1"/>
        <v>7.3047616204983967</v>
      </c>
      <c r="P10" s="30">
        <f t="shared" ca="1" si="2"/>
        <v>9.5772006500479669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2993298</v>
      </c>
      <c r="M11" s="497">
        <f t="shared" ca="1" si="4"/>
        <v>1157149</v>
      </c>
      <c r="N11" s="497">
        <f t="shared" ca="1" si="4"/>
        <v>489537.27</v>
      </c>
      <c r="O11" s="497">
        <f t="shared" ca="1" si="1"/>
        <v>16.35444482974966</v>
      </c>
      <c r="P11" s="497">
        <f t="shared" ca="1" si="2"/>
        <v>42.305465415430511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2993298</v>
      </c>
      <c r="M13" s="93">
        <f t="shared" ca="1" si="5"/>
        <v>1157149</v>
      </c>
      <c r="N13" s="93">
        <f t="shared" ca="1" si="5"/>
        <v>489537.27</v>
      </c>
      <c r="O13" s="93">
        <f t="shared" ca="1" si="1"/>
        <v>16.35444482974966</v>
      </c>
      <c r="P13" s="93">
        <f t="shared" ca="1" si="2"/>
        <v>42.305465415430511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4746000</v>
      </c>
      <c r="M14" s="497">
        <f t="shared" ca="1" si="6"/>
        <v>4745800</v>
      </c>
      <c r="N14" s="497">
        <f t="shared" ca="1" si="6"/>
        <v>75800</v>
      </c>
      <c r="O14" s="497">
        <f t="shared" ca="1" si="1"/>
        <v>1.597134428992836</v>
      </c>
      <c r="P14" s="497">
        <f t="shared" ca="1" si="2"/>
        <v>1.5972017362720721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4745800</v>
      </c>
      <c r="N16" s="52">
        <f t="shared" ca="1" si="7"/>
        <v>75800</v>
      </c>
      <c r="O16" s="52">
        <f t="shared" ca="1" si="1"/>
        <v>1.597134428992836</v>
      </c>
      <c r="P16" s="52">
        <f t="shared" ca="1" si="2"/>
        <v>1.5972017362720721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5902949</v>
      </c>
      <c r="N18" s="22">
        <f t="shared" ca="1" si="8"/>
        <v>520357.27</v>
      </c>
      <c r="O18" s="22">
        <f t="shared" ref="O18:O26" ca="1" si="9">IF(L18&gt;0,N18*100/L18,0)</f>
        <v>7.3942039686149661</v>
      </c>
      <c r="P18" s="22">
        <f t="shared" ref="P18:P26" ca="1" si="10">IF(M18&gt;0,N18*100/M18,0)</f>
        <v>8.8152086355480961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5902949</v>
      </c>
      <c r="N20" s="30">
        <f t="shared" ca="1" si="11"/>
        <v>520357.27</v>
      </c>
      <c r="O20" s="30">
        <f t="shared" ca="1" si="9"/>
        <v>7.3942039686149661</v>
      </c>
      <c r="P20" s="30">
        <f t="shared" ca="1" si="10"/>
        <v>8.8152086355480961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2291367</v>
      </c>
      <c r="M21" s="497">
        <f t="shared" ca="1" si="12"/>
        <v>1157149</v>
      </c>
      <c r="N21" s="497">
        <f t="shared" ca="1" si="12"/>
        <v>444557.27</v>
      </c>
      <c r="O21" s="497">
        <f t="shared" ca="1" si="9"/>
        <v>19.401399688482901</v>
      </c>
      <c r="P21" s="497">
        <f t="shared" ca="1" si="10"/>
        <v>38.418325557037164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2291367</v>
      </c>
      <c r="M23" s="93">
        <f t="shared" ca="1" si="13"/>
        <v>1157149</v>
      </c>
      <c r="N23" s="93">
        <f t="shared" ca="1" si="13"/>
        <v>444557.27</v>
      </c>
      <c r="O23" s="93">
        <f t="shared" ca="1" si="9"/>
        <v>19.401399688482901</v>
      </c>
      <c r="P23" s="93">
        <f t="shared" ca="1" si="10"/>
        <v>38.418325557037164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4">L25+L26</f>
        <v>4746000</v>
      </c>
      <c r="M24" s="497">
        <f t="shared" ca="1" si="14"/>
        <v>4745800</v>
      </c>
      <c r="N24" s="497">
        <f t="shared" ca="1" si="14"/>
        <v>75800</v>
      </c>
      <c r="O24" s="497">
        <f t="shared" ca="1" si="9"/>
        <v>1.597134428992836</v>
      </c>
      <c r="P24" s="497">
        <f t="shared" ca="1" si="10"/>
        <v>1.5972017362720721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4745800</v>
      </c>
      <c r="N26" s="52">
        <f t="shared" ca="1" si="15"/>
        <v>75800</v>
      </c>
      <c r="O26" s="52">
        <f t="shared" ca="1" si="9"/>
        <v>1.597134428992836</v>
      </c>
      <c r="P26" s="52">
        <f t="shared" ca="1" si="10"/>
        <v>1.5972017362720721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701931</v>
      </c>
      <c r="M28" s="22">
        <f t="shared" si="16"/>
        <v>0</v>
      </c>
      <c r="N28" s="22">
        <f t="shared" si="16"/>
        <v>44980</v>
      </c>
      <c r="O28" s="22">
        <f t="shared" ref="O28:O37" ca="1" si="17">IF(L28&gt;0,N28*100/L28,0)</f>
        <v>6.4080372572232882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701931</v>
      </c>
      <c r="M30" s="30">
        <f t="shared" si="19"/>
        <v>0</v>
      </c>
      <c r="N30" s="30">
        <f t="shared" si="19"/>
        <v>44980</v>
      </c>
      <c r="O30" s="30">
        <f t="shared" ca="1" si="17"/>
        <v>6.4080372572232882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0">L32+L33</f>
        <v>701931</v>
      </c>
      <c r="M31" s="497">
        <f t="shared" si="20"/>
        <v>0</v>
      </c>
      <c r="N31" s="497">
        <f t="shared" si="20"/>
        <v>44980</v>
      </c>
      <c r="O31" s="497">
        <f t="shared" ca="1" si="17"/>
        <v>6.4080372572232882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701931</v>
      </c>
      <c r="M33" s="93">
        <f t="shared" si="21"/>
        <v>0</v>
      </c>
      <c r="N33" s="93">
        <f t="shared" si="21"/>
        <v>44980</v>
      </c>
      <c r="O33" s="93">
        <f t="shared" ca="1" si="17"/>
        <v>6.4080372572232882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4">L41+L53+L66+L88+L119+L132+L149+L165+L181+L261+L277+L298+L315+L328+L345+L389+L402</f>
        <v>7037367</v>
      </c>
      <c r="M37" s="59">
        <f t="shared" ca="1" si="24"/>
        <v>5902949</v>
      </c>
      <c r="N37" s="59">
        <f t="shared" ca="1" si="24"/>
        <v>520357.27</v>
      </c>
      <c r="O37" s="59">
        <f t="shared" ca="1" si="17"/>
        <v>7.3942039686149661</v>
      </c>
      <c r="P37" s="59">
        <f t="shared" ca="1" si="18"/>
        <v>8.8152086355480961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105654</v>
      </c>
      <c r="N41" s="85">
        <f t="shared" ca="1" si="25"/>
        <v>55675</v>
      </c>
      <c r="O41" s="85">
        <f t="shared" ref="O41:O49" ca="1" si="26">IF(L41&gt;0,N41*100/L41,0)</f>
        <v>28.721845626850733</v>
      </c>
      <c r="P41" s="85">
        <f t="shared" ref="P41:P49" ca="1" si="27">IF(M41&gt;0,N41*100/M41,0)</f>
        <v>52.695591269615917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105654</v>
      </c>
      <c r="N43" s="92">
        <f t="shared" ca="1" si="28"/>
        <v>55675</v>
      </c>
      <c r="O43" s="92">
        <f t="shared" ca="1" si="26"/>
        <v>28.721845626850733</v>
      </c>
      <c r="P43" s="92">
        <f t="shared" ca="1" si="27"/>
        <v>52.695591269615917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29">L45+L46</f>
        <v>193842</v>
      </c>
      <c r="M44" s="497">
        <f t="shared" ca="1" si="29"/>
        <v>105654</v>
      </c>
      <c r="N44" s="497">
        <f t="shared" ca="1" si="29"/>
        <v>55675</v>
      </c>
      <c r="O44" s="497">
        <f t="shared" ca="1" si="26"/>
        <v>28.721845626850733</v>
      </c>
      <c r="P44" s="497">
        <f t="shared" ca="1" si="27"/>
        <v>52.695591269615917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IFERROR(__xludf.DUMMYFUNCTION("IMPORTRANGE(""https://docs.google.com/spreadsheets/d/1MeEWN-I1oV_STSDYn1IFDPWt_1FKiwhDph83XaGc0o0/edit?usp=sharing"",""งบพรบ!R81"")"),105654)</f>
        <v>105654</v>
      </c>
      <c r="N46" s="93">
        <f ca="1">IFERROR(__xludf.DUMMYFUNCTION("IMPORTRANGE(""https://docs.google.com/spreadsheets/d/1MeEWN-I1oV_STSDYn1IFDPWt_1FKiwhDph83XaGc0o0/edit?usp=sharing"",""งบพรบ!T81"")"),55675)</f>
        <v>55675</v>
      </c>
      <c r="O46" s="93">
        <f t="shared" ca="1" si="26"/>
        <v>28.721845626850733</v>
      </c>
      <c r="P46" s="93">
        <f t="shared" ca="1" si="27"/>
        <v>52.695591269615917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5129750</v>
      </c>
      <c r="N53" s="116">
        <f t="shared" ca="1" si="31"/>
        <v>248563.74</v>
      </c>
      <c r="O53" s="116">
        <f t="shared" ref="O53:O61" ca="1" si="32">IF(L53&gt;0,N53*100/L53,0)</f>
        <v>4.446976294838537</v>
      </c>
      <c r="P53" s="116">
        <f t="shared" ref="P53:P61" ca="1" si="33">IF(M53&gt;0,N53*100/M53,0)</f>
        <v>4.8455332131195474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5129750</v>
      </c>
      <c r="N55" s="123">
        <f t="shared" ca="1" si="34"/>
        <v>248563.74</v>
      </c>
      <c r="O55" s="123">
        <f t="shared" ca="1" si="32"/>
        <v>4.446976294838537</v>
      </c>
      <c r="P55" s="123">
        <f t="shared" ca="1" si="33"/>
        <v>4.8455332131195474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5">L57+L58</f>
        <v>919500</v>
      </c>
      <c r="M56" s="497">
        <f t="shared" ca="1" si="35"/>
        <v>459750</v>
      </c>
      <c r="N56" s="497">
        <f t="shared" ca="1" si="35"/>
        <v>248563.74</v>
      </c>
      <c r="O56" s="497">
        <f t="shared" ca="1" si="32"/>
        <v>27.032489396411094</v>
      </c>
      <c r="P56" s="497">
        <f t="shared" ca="1" si="33"/>
        <v>54.064978792822188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IFERROR(__xludf.DUMMYFUNCTION("IMPORTRANGE(""https://docs.google.com/spreadsheets/d/1MeEWN-I1oV_STSDYn1IFDPWt_1FKiwhDph83XaGc0o0/edit?usp=sharing"",""งบพรบ!AB81"")"),459750)</f>
        <v>459750</v>
      </c>
      <c r="N58" s="93">
        <f ca="1">IFERROR(__xludf.DUMMYFUNCTION("IMPORTRANGE(""https://docs.google.com/spreadsheets/d/1MeEWN-I1oV_STSDYn1IFDPWt_1FKiwhDph83XaGc0o0/edit?usp=sharing"",""งบพรบ!AD81"")"),248563.74)</f>
        <v>248563.74</v>
      </c>
      <c r="O58" s="93">
        <f t="shared" ca="1" si="32"/>
        <v>27.032489396411094</v>
      </c>
      <c r="P58" s="93">
        <f t="shared" ca="1" si="33"/>
        <v>54.064978792822188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6">L60+L61</f>
        <v>4670000</v>
      </c>
      <c r="M59" s="497">
        <f t="shared" ca="1" si="36"/>
        <v>4670000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IFERROR(__xludf.DUMMYFUNCTION("IMPORTRANGE(""https://docs.google.com/spreadsheets/d/1MeEWN-I1oV_STSDYn1IFDPWt_1FKiwhDph83XaGc0o0/edit?usp=sharing"",""งบพรบ!AC81"")"),4670000)</f>
        <v>4670000</v>
      </c>
      <c r="N61" s="52">
        <f ca="1">IFERROR(__xludf.DUMMYFUNCTION("IMPORTRANGE(""https://docs.google.com/spreadsheets/d/1MeEWN-I1oV_STSDYn1IFDPWt_1FKiwhDph83XaGc0o0/edit?usp=sharing"",""งบพรบ!AE81"")"),0)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333500</v>
      </c>
      <c r="M88" s="155">
        <f t="shared" ca="1" si="49"/>
        <v>172400</v>
      </c>
      <c r="N88" s="155">
        <f t="shared" ca="1" si="49"/>
        <v>45481</v>
      </c>
      <c r="O88" s="155">
        <f t="shared" ref="O88:O96" ca="1" si="50">IF(L88&gt;0,N88*100/L88,0)</f>
        <v>13.637481259370315</v>
      </c>
      <c r="P88" s="155">
        <f t="shared" ref="P88:P96" ca="1" si="51">IF(M88&gt;0,N88*100/M88,0)</f>
        <v>26.381090487238978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333500</v>
      </c>
      <c r="M90" s="93">
        <f t="shared" ca="1" si="52"/>
        <v>172400</v>
      </c>
      <c r="N90" s="93">
        <f t="shared" ca="1" si="52"/>
        <v>45481</v>
      </c>
      <c r="O90" s="93">
        <f t="shared" ca="1" si="50"/>
        <v>13.637481259370315</v>
      </c>
      <c r="P90" s="93">
        <f t="shared" ca="1" si="51"/>
        <v>26.381090487238978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333500</v>
      </c>
      <c r="M91" s="497">
        <f t="shared" ca="1" si="53"/>
        <v>172400</v>
      </c>
      <c r="N91" s="497">
        <f t="shared" ca="1" si="53"/>
        <v>45481</v>
      </c>
      <c r="O91" s="497">
        <f t="shared" ca="1" si="50"/>
        <v>13.637481259370315</v>
      </c>
      <c r="P91" s="497">
        <f t="shared" ca="1" si="51"/>
        <v>26.381090487238978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IFERROR(__xludf.DUMMYFUNCTION("IMPORTRANGE(""https://docs.google.com/spreadsheets/d/1MeEWN-I1oV_STSDYn1IFDPWt_1FKiwhDph83XaGc0o0/edit?usp=sharing"",""งบพรบ!AV81"")"),172400)</f>
        <v>172400</v>
      </c>
      <c r="N93" s="93">
        <f ca="1">IFERROR(__xludf.DUMMYFUNCTION("IMPORTRANGE(""https://docs.google.com/spreadsheets/d/1MeEWN-I1oV_STSDYn1IFDPWt_1FKiwhDph83XaGc0o0/edit?usp=sharing"",""งบพรบ!AX81"")"),45481)</f>
        <v>45481</v>
      </c>
      <c r="O93" s="93">
        <f t="shared" ca="1" si="50"/>
        <v>13.637481259370315</v>
      </c>
      <c r="P93" s="93">
        <f t="shared" ca="1" si="51"/>
        <v>26.381090487238978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IFERROR(__xludf.DUMMYFUNCTION("IMPORTRANGE(""https://docs.google.com/spreadsheets/d/1QqKyyYR6Q21VydFLVH3TRQUabQu_ym0Zz7PgGX0-kHA/edit?usp=sharing"",""แผน!K81"")"),0)</f>
        <v>0</v>
      </c>
      <c r="J98" s="269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IFERROR(__xludf.DUMMYFUNCTION("IMPORTRANGE(""https://docs.google.com/spreadsheets/d/1QqKyyYR6Q21VydFLVH3TRQUabQu_ym0Zz7PgGX0-kHA/edit?usp=sharing"",""แผน!L81"")"),0)</f>
        <v>0</v>
      </c>
      <c r="J99" s="269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IFERROR(__xludf.DUMMYFUNCTION("IMPORTRANGE(""https://docs.google.com/spreadsheets/d/1QqKyyYR6Q21VydFLVH3TRQUabQu_ym0Zz7PgGX0-kHA/edit?usp=sharing"",""แผน!M81"")"),1)</f>
        <v>1</v>
      </c>
      <c r="J100" s="269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IFERROR(__xludf.DUMMYFUNCTION("IMPORTRANGE(""https://docs.google.com/spreadsheets/d/1QqKyyYR6Q21VydFLVH3TRQUabQu_ym0Zz7PgGX0-kHA/edit?usp=sharing"",""แผน!N81"")"),0)</f>
        <v>0</v>
      </c>
      <c r="J102" s="214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IFERROR(__xludf.DUMMYFUNCTION("IMPORTRANGE(""https://docs.google.com/spreadsheets/d/1QqKyyYR6Q21VydFLVH3TRQUabQu_ym0Zz7PgGX0-kHA/edit?usp=sharing"",""แผน!O81"")"),0)</f>
        <v>0</v>
      </c>
      <c r="J103" s="214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IFERROR(__xludf.DUMMYFUNCTION("IMPORTRANGE(""https://docs.google.com/spreadsheets/d/1QqKyyYR6Q21VydFLVH3TRQUabQu_ym0Zz7PgGX0-kHA/edit?usp=sharing"",""แผน!O81"")"),0)</f>
        <v>0</v>
      </c>
      <c r="J104" s="214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IFERROR(__xludf.DUMMYFUNCTION("IMPORTRANGE(""https://docs.google.com/spreadsheets/d/1QqKyyYR6Q21VydFLVH3TRQUabQu_ym0Zz7PgGX0-kHA/edit?usp=sharing"",""แผน!P81"")"),1)</f>
        <v>1</v>
      </c>
      <c r="J106" s="214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IFERROR(__xludf.DUMMYFUNCTION("IMPORTRANGE(""https://docs.google.com/spreadsheets/d/1QqKyyYR6Q21VydFLVH3TRQUabQu_ym0Zz7PgGX0-kHA/edit?usp=sharing"",""แผน!P81"")"),1)</f>
        <v>1</v>
      </c>
      <c r="J107" s="214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IFERROR(__xludf.DUMMYFUNCTION("IMPORTRANGE(""https://docs.google.com/spreadsheets/d/1QqKyyYR6Q21VydFLVH3TRQUabQu_ym0Zz7PgGX0-kHA/edit?usp=sharing"",""แผน!Q81"")"),0)</f>
        <v>0</v>
      </c>
      <c r="J109" s="214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IFERROR(__xludf.DUMMYFUNCTION("IMPORTRANGE(""https://docs.google.com/spreadsheets/d/1QqKyyYR6Q21VydFLVH3TRQUabQu_ym0Zz7PgGX0-kHA/edit?usp=sharing"",""แผน!Q81"")"),0)</f>
        <v>0</v>
      </c>
      <c r="J110" s="214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4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4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4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4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IFERROR(__xludf.DUMMYFUNCTION("IMPORTRANGE(""https://docs.google.com/spreadsheets/d/1QqKyyYR6Q21VydFLVH3TRQUabQu_ym0Zz7PgGX0-kHA/edit?usp=sharing"",""แผน!U81"")"),0)</f>
        <v>0</v>
      </c>
      <c r="J144" s="214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IFERROR(__xludf.DUMMYFUNCTION("IMPORTRANGE(""https://docs.google.com/spreadsheets/d/1QqKyyYR6Q21VydFLVH3TRQUabQu_ym0Zz7PgGX0-kHA/edit?usp=sharing"",""แผน!V81"")"),0)</f>
        <v>0</v>
      </c>
      <c r="J145" s="214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IFERROR(__xludf.DUMMYFUNCTION("IMPORTRANGE(""https://docs.google.com/spreadsheets/d/1QqKyyYR6Q21VydFLVH3TRQUabQu_ym0Zz7PgGX0-kHA/edit?usp=sharing"",""แผน!W81"")"),0)</f>
        <v>0</v>
      </c>
      <c r="J146" s="214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IFERROR(__xludf.DUMMYFUNCTION("IMPORTRANGE(""https://docs.google.com/spreadsheets/d/1QqKyyYR6Q21VydFLVH3TRQUabQu_ym0Zz7PgGX0-kHA/edit?usp=sharing"",""แผน!X81"")"),0)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13</v>
      </c>
      <c r="J164" s="252">
        <f t="shared" si="83"/>
        <v>13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24065</v>
      </c>
      <c r="M165" s="155">
        <f t="shared" ca="1" si="84"/>
        <v>24065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24065</v>
      </c>
      <c r="M167" s="93">
        <f t="shared" ca="1" si="87"/>
        <v>24065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24065</v>
      </c>
      <c r="M168" s="497">
        <f t="shared" ca="1" si="88"/>
        <v>24065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IFERROR(__xludf.DUMMYFUNCTION("IMPORTRANGE(""https://docs.google.com/spreadsheets/d/1MeEWN-I1oV_STSDYn1IFDPWt_1FKiwhDph83XaGc0o0/edit?usp=sharing"",""งบพรบ!CJ81"")"),24065)</f>
        <v>24065</v>
      </c>
      <c r="N170" s="93">
        <f ca="1">IFERROR(__xludf.DUMMYFUNCTION("IMPORTRANGE(""https://docs.google.com/spreadsheets/d/1MeEWN-I1oV_STSDYn1IFDPWt_1FKiwhDph83XaGc0o0/edit?usp=sharing"",""งบพรบ!CL81"")"),0)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13</v>
      </c>
      <c r="J174" s="260">
        <f t="shared" si="90"/>
        <v>13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IFERROR(__xludf.DUMMYFUNCTION("IMPORTRANGE(""https://docs.google.com/spreadsheets/d/1QqKyyYR6Q21VydFLVH3TRQUabQu_ym0Zz7PgGX0-kHA/edit?usp=sharing"",""แผน!Y81"")"),13)</f>
        <v>13</v>
      </c>
      <c r="J176" s="214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45000</v>
      </c>
      <c r="M181" s="155">
        <f t="shared" ca="1" si="92"/>
        <v>21000</v>
      </c>
      <c r="N181" s="155">
        <f t="shared" ca="1" si="92"/>
        <v>14420</v>
      </c>
      <c r="O181" s="155">
        <f t="shared" ref="O181:O189" ca="1" si="93">IF(L181&gt;0,N181*100/L181,0)</f>
        <v>32.044444444444444</v>
      </c>
      <c r="P181" s="155">
        <f t="shared" ref="P181:P189" ca="1" si="94">IF(M181&gt;0,N181*100/M181,0)</f>
        <v>68.666666666666671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45000</v>
      </c>
      <c r="M183" s="93">
        <f t="shared" ca="1" si="95"/>
        <v>21000</v>
      </c>
      <c r="N183" s="93">
        <f t="shared" ca="1" si="95"/>
        <v>14420</v>
      </c>
      <c r="O183" s="93">
        <f t="shared" ca="1" si="93"/>
        <v>32.044444444444444</v>
      </c>
      <c r="P183" s="93">
        <f t="shared" ca="1" si="94"/>
        <v>68.666666666666671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45000</v>
      </c>
      <c r="M184" s="497">
        <f t="shared" ca="1" si="96"/>
        <v>21000</v>
      </c>
      <c r="N184" s="497">
        <f t="shared" ca="1" si="96"/>
        <v>14420</v>
      </c>
      <c r="O184" s="497">
        <f t="shared" ca="1" si="93"/>
        <v>32.044444444444444</v>
      </c>
      <c r="P184" s="497">
        <f t="shared" ca="1" si="94"/>
        <v>68.666666666666671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IFERROR(__xludf.DUMMYFUNCTION("IMPORTRANGE(""https://docs.google.com/spreadsheets/d/1MeEWN-I1oV_STSDYn1IFDPWt_1FKiwhDph83XaGc0o0/edit?usp=sharing"",""งบพรบ!CT81"")"),21000)</f>
        <v>21000</v>
      </c>
      <c r="N186" s="93">
        <f ca="1">IFERROR(__xludf.DUMMYFUNCTION("IMPORTRANGE(""https://docs.google.com/spreadsheets/d/1MeEWN-I1oV_STSDYn1IFDPWt_1FKiwhDph83XaGc0o0/edit?usp=sharing"",""งบพรบ!CV81"")"),14420)</f>
        <v>14420</v>
      </c>
      <c r="O186" s="93">
        <f t="shared" ca="1" si="93"/>
        <v>32.044444444444444</v>
      </c>
      <c r="P186" s="93">
        <f t="shared" ca="1" si="94"/>
        <v>68.666666666666671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IFERROR(__xludf.DUMMYFUNCTION("IMPORTRANGE(""https://docs.google.com/spreadsheets/d/1QqKyyYR6Q21VydFLVH3TRQUabQu_ym0Zz7PgGX0-kHA/edit?usp=sharing"",""แผน!AC81"")"),4)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31000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IFERROR(__xludf.DUMMYFUNCTION("IMPORTRANGE(""https://docs.google.com/spreadsheets/d/1QqKyyYR6Q21VydFLVH3TRQUabQu_ym0Zz7PgGX0-kHA/edit?usp=sharing"",""แผน!AE81"")"),2000)</f>
        <v>2000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IFERROR(__xludf.DUMMYFUNCTION("IMPORTRANGE(""https://docs.google.com/spreadsheets/d/1QqKyyYR6Q21VydFLVH3TRQUabQu_ym0Zz7PgGX0-kHA/edit?usp=sharing"",""แผน!AF81"")"),16000)</f>
        <v>16000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IFERROR(__xludf.DUMMYFUNCTION("IMPORTRANGE(""https://docs.google.com/spreadsheets/d/1QqKyyYR6Q21VydFLVH3TRQUabQu_ym0Zz7PgGX0-kHA/edit?usp=sharing"",""แผน!AG81"")"),8000)</f>
        <v>8000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IFERROR(__xludf.DUMMYFUNCTION("IMPORTRANGE(""https://docs.google.com/spreadsheets/d/1QqKyyYR6Q21VydFLVH3TRQUabQu_ym0Zz7PgGX0-kHA/edit?usp=sharing"",""แผน!AH81"")"),5000)</f>
        <v>5000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IFERROR(__xludf.DUMMYFUNCTION("IMPORTRANGE(""https://docs.google.com/spreadsheets/d/1QqKyyYR6Q21VydFLVH3TRQUabQu_ym0Zz7PgGX0-kHA/edit?usp=sharing"",""แผน!AI81"")"),2)</f>
        <v>2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1</v>
      </c>
      <c r="J207" s="214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IFERROR(__xludf.DUMMYFUNCTION("IMPORTRANGE(""https://docs.google.com/spreadsheets/d/1QqKyyYR6Q21VydFLVH3TRQUabQu_ym0Zz7PgGX0-kHA/edit?usp=sharing"",""แผน!AK81"")"),0)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IFERROR(__xludf.DUMMYFUNCTION("IMPORTRANGE(""https://docs.google.com/spreadsheets/d/1QqKyyYR6Q21VydFLVH3TRQUabQu_ym0Zz7PgGX0-kHA/edit?usp=sharing"",""แผน!AL81"")"),0)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IFERROR(__xludf.DUMMYFUNCTION("IMPORTRANGE(""https://docs.google.com/spreadsheets/d/1QqKyyYR6Q21VydFLVH3TRQUabQu_ym0Zz7PgGX0-kHA/edit?usp=sharing"",""แผน!AM81"")"),0)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IFERROR(__xludf.DUMMYFUNCTION("IMPORTRANGE(""https://docs.google.com/spreadsheets/d/1QqKyyYR6Q21VydFLVH3TRQUabQu_ym0Zz7PgGX0-kHA/edit?usp=sharing"",""แผน!AN81"")"),0)</f>
        <v>0</v>
      </c>
      <c r="J214" s="214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IFERROR(__xludf.DUMMYFUNCTION("IMPORTRANGE(""https://docs.google.com/spreadsheets/d/1QqKyyYR6Q21VydFLVH3TRQUabQu_ym0Zz7PgGX0-kHA/edit?usp=sharing"",""แผน!AN81"")"),0)</f>
        <v>0</v>
      </c>
      <c r="J215" s="214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20000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IFERROR(__xludf.DUMMYFUNCTION("IMPORTRANGE(""https://docs.google.com/spreadsheets/d/1QqKyyYR6Q21VydFLVH3TRQUabQu_ym0Zz7PgGX0-kHA/edit?usp=sharing"",""แผน!AP81"")"),3000)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IFERROR(__xludf.DUMMYFUNCTION("IMPORTRANGE(""https://docs.google.com/spreadsheets/d/1QqKyyYR6Q21VydFLVH3TRQUabQu_ym0Zz7PgGX0-kHA/edit?usp=sharing"",""แผน!AQ81"")"),5000)</f>
        <v>5000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IFERROR(__xludf.DUMMYFUNCTION("IMPORTRANGE(""https://docs.google.com/spreadsheets/d/1QqKyyYR6Q21VydFLVH3TRQUabQu_ym0Zz7PgGX0-kHA/edit?usp=sharing"",""แผน!AR81"")"),0)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IFERROR(__xludf.DUMMYFUNCTION("IMPORTRANGE(""https://docs.google.com/spreadsheets/d/1QqKyyYR6Q21VydFLVH3TRQUabQu_ym0Zz7PgGX0-kHA/edit?usp=sharing"",""แผน!AT81"")"),20000)</f>
        <v>20000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IFERROR(__xludf.DUMMYFUNCTION("IMPORTRANGE(""https://docs.google.com/spreadsheets/d/1QqKyyYR6Q21VydFLVH3TRQUabQu_ym0Zz7PgGX0-kHA/edit?usp=sharing"",""แผน!AT81"")"),20000)</f>
        <v>20000</v>
      </c>
      <c r="J224" s="214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IFERROR(__xludf.DUMMYFUNCTION("IMPORTRANGE(""https://docs.google.com/spreadsheets/d/1QqKyyYR6Q21VydFLVH3TRQUabQu_ym0Zz7PgGX0-kHA/edit?usp=sharing"",""แผน!AS81"")"),0)</f>
        <v>0</v>
      </c>
      <c r="J225" s="21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IFERROR(__xludf.DUMMYFUNCTION("IMPORTRANGE(""https://docs.google.com/spreadsheets/d/1QqKyyYR6Q21VydFLVH3TRQUabQu_ym0Zz7PgGX0-kHA/edit?usp=sharing"",""แผน!AV81"")"),0)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IFERROR(__xludf.DUMMYFUNCTION("IMPORTRANGE(""https://docs.google.com/spreadsheets/d/1QqKyyYR6Q21VydFLVH3TRQUabQu_ym0Zz7PgGX0-kHA/edit?usp=sharing"",""แผน!AW81"")"),0)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IFERROR(__xludf.DUMMYFUNCTION("IMPORTRANGE(""https://docs.google.com/spreadsheets/d/1QqKyyYR6Q21VydFLVH3TRQUabQu_ym0Zz7PgGX0-kHA/edit?usp=sharing"",""แผน!AX81"")"),0)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IFERROR(__xludf.DUMMYFUNCTION("IMPORTRANGE(""https://docs.google.com/spreadsheets/d/1QqKyyYR6Q21VydFLVH3TRQUabQu_ym0Zz7PgGX0-kHA/edit?usp=sharing"",""แผน!AY81"")"),0)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IFERROR(__xludf.DUMMYFUNCTION("IMPORTRANGE(""https://docs.google.com/spreadsheets/d/1QqKyyYR6Q21VydFLVH3TRQUabQu_ym0Zz7PgGX0-kHA/edit?usp=sharing"",""แผน!BE81"")"),0)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IFERROR(__xludf.DUMMYFUNCTION("IMPORTRANGE(""https://docs.google.com/spreadsheets/d/1QqKyyYR6Q21VydFLVH3TRQUabQu_ym0Zz7PgGX0-kHA/edit?usp=sharing"",""แผน!AZ81"")"),0)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IFERROR(__xludf.DUMMYFUNCTION("IMPORTRANGE(""https://docs.google.com/spreadsheets/d/1QqKyyYR6Q21VydFLVH3TRQUabQu_ym0Zz7PgGX0-kHA/edit?usp=sharing"",""แผน!BA81"")"),0)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IFERROR(__xludf.DUMMYFUNCTION("IMPORTRANGE(""https://docs.google.com/spreadsheets/d/1QqKyyYR6Q21VydFLVH3TRQUabQu_ym0Zz7PgGX0-kHA/edit?usp=sharing"",""แผน!BB81"")"),0)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IFERROR(__xludf.DUMMYFUNCTION("IMPORTRANGE(""https://docs.google.com/spreadsheets/d/1QqKyyYR6Q21VydFLVH3TRQUabQu_ym0Zz7PgGX0-kHA/edit?usp=sharing"",""แผน!BC81"")"),0)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IFERROR(__xludf.DUMMYFUNCTION("IMPORTRANGE(""https://docs.google.com/spreadsheets/d/1QqKyyYR6Q21VydFLVH3TRQUabQu_ym0Zz7PgGX0-kHA/edit?usp=sharing"",""แผน!BF81"")"),0)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IFERROR(__xludf.DUMMYFUNCTION("IMPORTRANGE(""https://docs.google.com/spreadsheets/d/1MeEWN-I1oV_STSDYn1IFDPWt_1FKiwhDph83XaGc0o0/edit?usp=sharing"",""งบพรบ!DD81"")"),0)</f>
        <v>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IFERROR(__xludf.DUMMYFUNCTION("IMPORTRANGE(""https://docs.google.com/spreadsheets/d/1QqKyyYR6Q21VydFLVH3TRQUabQu_ym0Zz7PgGX0-kHA/edit?usp=sharing"",""แผน!EA81"")"),22)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4">I287</f>
        <v>0</v>
      </c>
      <c r="J276" s="409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IFERROR(__xludf.DUMMYFUNCTION("IMPORTRANGE(""https://docs.google.com/spreadsheets/d/1QqKyyYR6Q21VydFLVH3TRQUabQu_ym0Zz7PgGX0-kHA/edit?usp=sharing"",""แผน!EC81"")"),0)</f>
        <v>0</v>
      </c>
      <c r="J287" s="269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IFERROR(__xludf.DUMMYFUNCTION("IMPORTRANGE(""https://docs.google.com/spreadsheets/d/1QqKyyYR6Q21VydFLVH3TRQUabQu_ym0Zz7PgGX0-kHA/edit?usp=sharing"",""แผน!EB81"")"),0)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IFERROR(__xludf.DUMMYFUNCTION("IMPORTRANGE(""https://docs.google.com/spreadsheets/d/1QqKyyYR6Q21VydFLVH3TRQUabQu_ym0Zz7PgGX0-kHA/edit?usp=sharing"",""แผน!EB81"")"),0)</f>
        <v>0</v>
      </c>
      <c r="J294" s="424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IFERROR(__xludf.DUMMYFUNCTION("IMPORTRANGE(""https://docs.google.com/spreadsheets/d/1QqKyyYR6Q21VydFLVH3TRQUabQu_ym0Zz7PgGX0-kHA/edit?usp=sharing"",""แผน!ED81"")"),0)</f>
        <v>0</v>
      </c>
      <c r="J309" s="214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IFERROR(__xludf.DUMMYFUNCTION("IMPORTRANGE(""https://docs.google.com/spreadsheets/d/1QqKyyYR6Q21VydFLVH3TRQUabQu_ym0Zz7PgGX0-kHA/edit?usp=sharing"",""แผน!ED81"")"),0)</f>
        <v>0</v>
      </c>
      <c r="J310" s="214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IFERROR(__xludf.DUMMYFUNCTION("IMPORTRANGE(""https://docs.google.com/spreadsheets/d/1QqKyyYR6Q21VydFLVH3TRQUabQu_ym0Zz7PgGX0-kHA/edit?usp=sharing"",""แผน!ED81"")"),0)</f>
        <v>0</v>
      </c>
      <c r="J311" s="214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IFERROR(__xludf.DUMMYFUNCTION("IMPORTRANGE(""https://docs.google.com/spreadsheets/d/1QqKyyYR6Q21VydFLVH3TRQUabQu_ym0Zz7PgGX0-kHA/edit?usp=sharing"",""แผน!EE81"")"),0)</f>
        <v>0</v>
      </c>
      <c r="J312" s="214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IFERROR(__xludf.DUMMYFUNCTION("IMPORTRANGE(""https://docs.google.com/spreadsheets/d/1QqKyyYR6Q21VydFLVH3TRQUabQu_ym0Zz7PgGX0-kHA/edit?usp=sharing"",""แผน!EF81"")"),0)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IFERROR(__xludf.DUMMYFUNCTION("IMPORTRANGE(""https://docs.google.com/spreadsheets/d/1QqKyyYR6Q21VydFLVH3TRQUabQu_ym0Zz7PgGX0-kHA/edit?usp=sharing"",""แผน!EG81"")"),800)</f>
        <v>800</v>
      </c>
      <c r="J327" s="444">
        <f ca="1">J338+J341+J342+J343</f>
        <v>209</v>
      </c>
      <c r="K327" s="445">
        <f ca="1">IF(I327&gt;0,J327*100/I327,0)</f>
        <v>26.125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163000</v>
      </c>
      <c r="M328" s="155">
        <f t="shared" ca="1" si="149"/>
        <v>81500</v>
      </c>
      <c r="N328" s="155">
        <f t="shared" ca="1" si="149"/>
        <v>19501.330000000002</v>
      </c>
      <c r="O328" s="155">
        <f t="shared" ref="O328:O336" ca="1" si="150">IF(L328&gt;0,N328*100/L328,0)</f>
        <v>11.964006134969326</v>
      </c>
      <c r="P328" s="155">
        <f t="shared" ref="P328:P336" ca="1" si="151">IF(M328&gt;0,N328*100/M328,0)</f>
        <v>23.928012269938652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163000</v>
      </c>
      <c r="M330" s="93">
        <f t="shared" ca="1" si="152"/>
        <v>81500</v>
      </c>
      <c r="N330" s="93">
        <f t="shared" ca="1" si="152"/>
        <v>19501.330000000002</v>
      </c>
      <c r="O330" s="93">
        <f t="shared" ca="1" si="150"/>
        <v>11.964006134969326</v>
      </c>
      <c r="P330" s="93">
        <f t="shared" ca="1" si="151"/>
        <v>23.928012269938652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163000</v>
      </c>
      <c r="M331" s="497">
        <f t="shared" ca="1" si="153"/>
        <v>81500</v>
      </c>
      <c r="N331" s="497">
        <f t="shared" ca="1" si="153"/>
        <v>19501.330000000002</v>
      </c>
      <c r="O331" s="497">
        <f t="shared" ca="1" si="150"/>
        <v>11.964006134969326</v>
      </c>
      <c r="P331" s="497">
        <f t="shared" ca="1" si="151"/>
        <v>23.928012269938652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IFERROR(__xludf.DUMMYFUNCTION("IMPORTRANGE(""https://docs.google.com/spreadsheets/d/1MeEWN-I1oV_STSDYn1IFDPWt_1FKiwhDph83XaGc0o0/edit?usp=sharing"",""งบพรบ!ER81"")"),81500)</f>
        <v>81500</v>
      </c>
      <c r="N333" s="93">
        <f ca="1">IFERROR(__xludf.DUMMYFUNCTION("IMPORTRANGE(""https://docs.google.com/spreadsheets/d/1MeEWN-I1oV_STSDYn1IFDPWt_1FKiwhDph83XaGc0o0/edit?usp=sharing"",""งบพรบ!ET81"")"),19501.33)</f>
        <v>19501.330000000002</v>
      </c>
      <c r="O333" s="93">
        <f t="shared" ca="1" si="150"/>
        <v>11.964006134969326</v>
      </c>
      <c r="P333" s="93">
        <f t="shared" ca="1" si="151"/>
        <v>23.928012269938652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IFERROR(__xludf.DUMMYFUNCTION("IMPORTRANGE(""https://docs.google.com/spreadsheets/d/1QqKyyYR6Q21VydFLVH3TRQUabQu_ym0Zz7PgGX0-kHA/edit?usp=sharing"",""แผน!EG81"")"),800)</f>
        <v>800</v>
      </c>
      <c r="J338" s="269">
        <f ca="1">IFERROR(__xludf.DUMMYFUNCTION("IMPORTRANGE(""https://docs.google.com/spreadsheets/d/1kVcqe37tkHyjCSG3S0O1AXqVkqjo8mSIZil3BcpIysc/edit?usp=sharing"",""ศูนย์!D81"")"),185)</f>
        <v>185</v>
      </c>
      <c r="K338" s="497">
        <f ca="1">IF(I338&gt;0,J338*100/I338,0)</f>
        <v>23.125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IFERROR(__xludf.DUMMYFUNCTION("IMPORTRANGE(""https://docs.google.com/spreadsheets/d/1QqKyyYR6Q21VydFLVH3TRQUabQu_ym0Zz7PgGX0-kHA/edit?usp=sharing"",""แผน!EH81"")"),5)</f>
        <v>5</v>
      </c>
      <c r="J340" s="269">
        <f ca="1">IFERROR(__xludf.DUMMYFUNCTION("IMPORTRANGE(""https://docs.google.com/spreadsheets/d/1kVcqe37tkHyjCSG3S0O1AXqVkqjo8mSIZil3BcpIysc/edit?usp=sharing"",""ศูนย์!E81"")"),1)</f>
        <v>1</v>
      </c>
      <c r="K340" s="497">
        <f ca="1">IF(I340&gt;0,J340*100/I340,0)</f>
        <v>20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IFERROR(__xludf.DUMMYFUNCTION("IMPORTRANGE(""https://docs.google.com/spreadsheets/d/1kVcqe37tkHyjCSG3S0O1AXqVkqjo8mSIZil3BcpIysc/edit?usp=sharing"",""ศูนย์!F81"")"),24)</f>
        <v>24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661560</v>
      </c>
      <c r="M345" s="155">
        <f t="shared" ca="1" si="155"/>
        <v>368580</v>
      </c>
      <c r="N345" s="155">
        <f t="shared" ca="1" si="155"/>
        <v>136716.20000000001</v>
      </c>
      <c r="O345" s="155">
        <f t="shared" ref="O345:O353" ca="1" si="156">IF(L345&gt;0,N345*100/L345,0)</f>
        <v>20.66572948787714</v>
      </c>
      <c r="P345" s="155">
        <f t="shared" ref="P345:P353" ca="1" si="157">IF(M345&gt;0,N345*100/M345,0)</f>
        <v>37.092680015193451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661560</v>
      </c>
      <c r="M347" s="93">
        <f t="shared" ca="1" si="158"/>
        <v>368580</v>
      </c>
      <c r="N347" s="93">
        <f t="shared" ca="1" si="158"/>
        <v>136716.20000000001</v>
      </c>
      <c r="O347" s="93">
        <f t="shared" ca="1" si="156"/>
        <v>20.66572948787714</v>
      </c>
      <c r="P347" s="93">
        <f t="shared" ca="1" si="157"/>
        <v>37.092680015193451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585560</v>
      </c>
      <c r="M348" s="497">
        <f t="shared" ca="1" si="159"/>
        <v>292780</v>
      </c>
      <c r="N348" s="497">
        <f t="shared" ca="1" si="159"/>
        <v>60916.2</v>
      </c>
      <c r="O348" s="497">
        <f t="shared" ca="1" si="156"/>
        <v>10.403067149395451</v>
      </c>
      <c r="P348" s="497">
        <f t="shared" ca="1" si="157"/>
        <v>20.806134298790901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IFERROR(__xludf.DUMMYFUNCTION("IMPORTRANGE(""https://docs.google.com/spreadsheets/d/1MeEWN-I1oV_STSDYn1IFDPWt_1FKiwhDph83XaGc0o0/edit?usp=sharing"",""งบพรบ!FB81"")"),292780)</f>
        <v>292780</v>
      </c>
      <c r="N350" s="93">
        <f ca="1">IFERROR(__xludf.DUMMYFUNCTION("IMPORTRANGE(""https://docs.google.com/spreadsheets/d/1MeEWN-I1oV_STSDYn1IFDPWt_1FKiwhDph83XaGc0o0/edit?usp=sharing"",""งบพรบ!FD81"")"),60916.2)</f>
        <v>60916.2</v>
      </c>
      <c r="O350" s="93">
        <f t="shared" ca="1" si="156"/>
        <v>10.403067149395451</v>
      </c>
      <c r="P350" s="93">
        <f t="shared" ca="1" si="157"/>
        <v>20.806134298790901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75800</v>
      </c>
      <c r="N351" s="497">
        <f t="shared" ca="1" si="160"/>
        <v>75800</v>
      </c>
      <c r="O351" s="497">
        <f t="shared" ca="1" si="156"/>
        <v>99.736842105263165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IFERROR(__xludf.DUMMYFUNCTION("IMPORTRANGE(""https://docs.google.com/spreadsheets/d/1QqKyyYR6Q21VydFLVH3TRQUabQu_ym0Zz7PgGX0-kHA/edit?usp=sharing"",""แผน!EP81"")"),80)</f>
        <v>80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IFERROR(__xludf.DUMMYFUNCTION("IMPORTRANGE(""https://docs.google.com/spreadsheets/d/1XWAQStnk-4SwqDmLtmXYiTMKHgktTP8We1SCoS47DrQ/edit?usp=sharing"",""จัดที่ดิน!W81"")"),0)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IFERROR(__xludf.DUMMYFUNCTION("IMPORTRANGE(""https://docs.google.com/spreadsheets/d/1QqKyyYR6Q21VydFLVH3TRQUabQu_ym0Zz7PgGX0-kHA/edit?usp=sharing"",""แผน!EO81"")"),650)</f>
        <v>650</v>
      </c>
      <c r="J359" s="269">
        <f ca="1">IFERROR(__xludf.DUMMYFUNCTION("IMPORTRANGE(""https://docs.google.com/spreadsheets/d/1XWAQStnk-4SwqDmLtmXYiTMKHgktTP8We1SCoS47DrQ/edit?usp=sharing"",""จัดที่ดิน!X81"")"),0)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IFERROR(__xludf.DUMMYFUNCTION("IMPORTRANGE(""https://docs.google.com/spreadsheets/d/1QqKyyYR6Q21VydFLVH3TRQUabQu_ym0Zz7PgGX0-kHA/edit?usp=sharing"",""แผน!EP81"")"),80)</f>
        <v>80</v>
      </c>
      <c r="J360" s="269">
        <f ca="1">IFERROR(__xludf.DUMMYFUNCTION("IMPORTRANGE(""https://docs.google.com/spreadsheets/d/1XWAQStnk-4SwqDmLtmXYiTMKHgktTP8We1SCoS47DrQ/edit?usp=sharing"",""จัดที่ดิน!Y81"")"),0)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IFERROR(__xludf.DUMMYFUNCTION("IMPORTRANGE(""https://docs.google.com/spreadsheets/d/1XWAQStnk-4SwqDmLtmXYiTMKHgktTP8We1SCoS47DrQ/edit?usp=sharing"",""จัดที่ดิน!Z81"")"),0)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IFERROR(__xludf.DUMMYFUNCTION("IMPORTRANGE(""https://docs.google.com/spreadsheets/d/1QqKyyYR6Q21VydFLVH3TRQUabQu_ym0Zz7PgGX0-kHA/edit?usp=sharing"",""แผน!EP81"")"),80)</f>
        <v>80</v>
      </c>
      <c r="J362" s="269">
        <f ca="1">IFERROR(__xludf.DUMMYFUNCTION("IMPORTRANGE(""https://docs.google.com/spreadsheets/d/1XWAQStnk-4SwqDmLtmXYiTMKHgktTP8We1SCoS47DrQ/edit?usp=sharing"",""จัดที่ดิน!AA81"")"),0)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IFERROR(__xludf.DUMMYFUNCTION("IMPORTRANGE(""https://docs.google.com/spreadsheets/d/1XWAQStnk-4SwqDmLtmXYiTMKHgktTP8We1SCoS47DrQ/edit?usp=sharing"",""จัดที่ดิน!AB81"")"),0)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130</v>
      </c>
      <c r="J364" s="478">
        <f t="shared" ca="1" si="162"/>
        <v>2</v>
      </c>
      <c r="K364" s="479">
        <f t="shared" ca="1" si="161"/>
        <v>1.5384615384615385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IFERROR(__xludf.DUMMYFUNCTION("IMPORTRANGE(""https://docs.google.com/spreadsheets/d/1QqKyyYR6Q21VydFLVH3TRQUabQu_ym0Zz7PgGX0-kHA/edit?usp=sharing"",""แผน!EJ81"")"),30)</f>
        <v>30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IFERROR(__xludf.DUMMYFUNCTION("IMPORTRANGE(""https://docs.google.com/spreadsheets/d/1XWAQStnk-4SwqDmLtmXYiTMKHgktTP8We1SCoS47DrQ/edit?usp=sharing"",""จัดที่ดิน!E81"")"),0)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IFERROR(__xludf.DUMMYFUNCTION("IMPORTRANGE(""https://docs.google.com/spreadsheets/d/1QqKyyYR6Q21VydFLVH3TRQUabQu_ym0Zz7PgGX0-kHA/edit?usp=sharing"",""แผน!EI81"")"),200)</f>
        <v>200</v>
      </c>
      <c r="J369" s="269">
        <f ca="1">IFERROR(__xludf.DUMMYFUNCTION("IMPORTRANGE(""https://docs.google.com/spreadsheets/d/1XWAQStnk-4SwqDmLtmXYiTMKHgktTP8We1SCoS47DrQ/edit?usp=sharing"",""จัดที่ดิน!F81"")"),0)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IFERROR(__xludf.DUMMYFUNCTION("IMPORTRANGE(""https://docs.google.com/spreadsheets/d/1QqKyyYR6Q21VydFLVH3TRQUabQu_ym0Zz7PgGX0-kHA/edit?usp=sharing"",""แผน!EJ81"")"),30)</f>
        <v>30</v>
      </c>
      <c r="J370" s="269">
        <f ca="1">IFERROR(__xludf.DUMMYFUNCTION("IMPORTRANGE(""https://docs.google.com/spreadsheets/d/1XWAQStnk-4SwqDmLtmXYiTMKHgktTP8We1SCoS47DrQ/edit?usp=sharing"",""จัดที่ดิน!G81"")"),0)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IFERROR(__xludf.DUMMYFUNCTION("IMPORTRANGE(""https://docs.google.com/spreadsheets/d/1XWAQStnk-4SwqDmLtmXYiTMKHgktTP8We1SCoS47DrQ/edit?usp=sharing"",""จัดที่ดิน!H81"")"),0)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IFERROR(__xludf.DUMMYFUNCTION("IMPORTRANGE(""https://docs.google.com/spreadsheets/d/1QqKyyYR6Q21VydFLVH3TRQUabQu_ym0Zz7PgGX0-kHA/edit?usp=sharing"",""แผน!EJ81"")"),30)</f>
        <v>30</v>
      </c>
      <c r="J372" s="269">
        <f ca="1">IFERROR(__xludf.DUMMYFUNCTION("IMPORTRANGE(""https://docs.google.com/spreadsheets/d/1XWAQStnk-4SwqDmLtmXYiTMKHgktTP8We1SCoS47DrQ/edit?usp=sharing"",""จัดที่ดิน!I81"")"),0)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IFERROR(__xludf.DUMMYFUNCTION("IMPORTRANGE(""https://docs.google.com/spreadsheets/d/1QqKyyYR6Q21VydFLVH3TRQUabQu_ym0Zz7PgGX0-kHA/edit?usp=sharing"",""แผน!EU81"")"),100)</f>
        <v>100</v>
      </c>
      <c r="J374" s="490">
        <f ca="1">J381</f>
        <v>2</v>
      </c>
      <c r="K374" s="491">
        <f t="shared" ca="1" si="163"/>
        <v>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IFERROR(__xludf.DUMMYFUNCTION("IMPORTRANGE(""https://docs.google.com/spreadsheets/d/1XWAQStnk-4SwqDmLtmXYiTMKHgktTP8We1SCoS47DrQ/edit?usp=sharing"",""จัดที่ดิน!AH81"")"),0)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IFERROR(__xludf.DUMMYFUNCTION("IMPORTRANGE(""https://docs.google.com/spreadsheets/d/1QqKyyYR6Q21VydFLVH3TRQUabQu_ym0Zz7PgGX0-kHA/edit?usp=sharing"",""แผน!ET81"")"),450)</f>
        <v>450</v>
      </c>
      <c r="J378" s="269">
        <f ca="1">IFERROR(__xludf.DUMMYFUNCTION("IMPORTRANGE(""https://docs.google.com/spreadsheets/d/1XWAQStnk-4SwqDmLtmXYiTMKHgktTP8We1SCoS47DrQ/edit?usp=sharing"",""จัดที่ดิน!AI81"")"),0)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IFERROR(__xludf.DUMMYFUNCTION("IMPORTRANGE(""https://docs.google.com/spreadsheets/d/1QqKyyYR6Q21VydFLVH3TRQUabQu_ym0Zz7PgGX0-kHA/edit?usp=sharing"",""แผน!EU81"")"),100)</f>
        <v>100</v>
      </c>
      <c r="J379" s="269">
        <f ca="1">IFERROR(__xludf.DUMMYFUNCTION("IMPORTRANGE(""https://docs.google.com/spreadsheets/d/1XWAQStnk-4SwqDmLtmXYiTMKHgktTP8We1SCoS47DrQ/edit?usp=sharing"",""จัดที่ดิน!AJ81"")"),2)</f>
        <v>2</v>
      </c>
      <c r="K379" s="497">
        <f t="shared" ca="1" si="164"/>
        <v>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IFERROR(__xludf.DUMMYFUNCTION("IMPORTRANGE(""https://docs.google.com/spreadsheets/d/1XWAQStnk-4SwqDmLtmXYiTMKHgktTP8We1SCoS47DrQ/edit?usp=sharing"",""จัดที่ดิน!AK81"")"),11.62)</f>
        <v>11.62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IFERROR(__xludf.DUMMYFUNCTION("IMPORTRANGE(""https://docs.google.com/spreadsheets/d/1QqKyyYR6Q21VydFLVH3TRQUabQu_ym0Zz7PgGX0-kHA/edit?usp=sharing"",""แผน!EU81"")"),100)</f>
        <v>100</v>
      </c>
      <c r="J381" s="269">
        <f ca="1">IFERROR(__xludf.DUMMYFUNCTION("IMPORTRANGE(""https://docs.google.com/spreadsheets/d/1XWAQStnk-4SwqDmLtmXYiTMKHgktTP8We1SCoS47DrQ/edit?usp=sharing"",""จัดที่ดิน!AL81"")"),2)</f>
        <v>2</v>
      </c>
      <c r="K381" s="497">
        <f t="shared" ca="1" si="164"/>
        <v>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IFERROR(__xludf.DUMMYFUNCTION("IMPORTRANGE(""https://docs.google.com/spreadsheets/d/1XWAQStnk-4SwqDmLtmXYiTMKHgktTP8We1SCoS47DrQ/edit?usp=sharing"",""จัดที่ดิน!AM81"")"),11.62)</f>
        <v>11.62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IFERROR(__xludf.DUMMYFUNCTION("IMPORTRANGE(""https://docs.google.com/spreadsheets/d/1QqKyyYR6Q21VydFLVH3TRQUabQu_ym0Zz7PgGX0-kHA/edit?usp=sharing"",""แผน!EW81"")"),10)</f>
        <v>10</v>
      </c>
      <c r="J385" s="500">
        <f ca="1">IFERROR(__xludf.DUMMYFUNCTION("IMPORTRANGE(""https://docs.google.com/spreadsheets/d/1XWAQStnk-4SwqDmLtmXYiTMKHgktTP8We1SCoS47DrQ/edit?usp=sharing"",""จัดที่ดิน!AP81"")"),0)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701931</v>
      </c>
      <c r="M414" s="548">
        <f t="shared" si="181"/>
        <v>0</v>
      </c>
      <c r="N414" s="548">
        <f t="shared" si="181"/>
        <v>44980</v>
      </c>
      <c r="O414" s="548">
        <f ca="1">IF(L414&gt;0,N414*100/L414,0)</f>
        <v>6.4080372572232882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2230</v>
      </c>
      <c r="O419" s="155">
        <f t="shared" ref="O419:O424" ca="1" si="185">IF(L419&gt;0,N419*100/L419,0)</f>
        <v>2.8349860157640476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2230</v>
      </c>
      <c r="O421" s="93">
        <f t="shared" ca="1" si="185"/>
        <v>2.8349860157640476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2230</v>
      </c>
      <c r="O422" s="497">
        <f t="shared" ca="1" si="185"/>
        <v>2.8349860157640476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v>0</v>
      </c>
      <c r="N424" s="93">
        <f>N425+N426+N427+N428</f>
        <v>2230</v>
      </c>
      <c r="O424" s="93">
        <f t="shared" ca="1" si="185"/>
        <v>2.8349860157640476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2230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IFERROR(__xludf.DUMMYFUNCTION("IMPORTRANGE(""https://docs.google.com/spreadsheets/d/1QqKyyYR6Q21VydFLVH3TRQUabQu_ym0Zz7PgGX0-kHA/edit?usp=sharing"",""แผน!FC81"")"),20)</f>
        <v>20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IFERROR(__xludf.DUMMYFUNCTION("IMPORTRANGE(""https://docs.google.com/spreadsheets/d/1QqKyyYR6Q21VydFLVH3TRQUabQu_ym0Zz7PgGX0-kHA/edit?usp=sharing"",""แผน!FD81"")"),0)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IFERROR(__xludf.DUMMYFUNCTION("IMPORTRANGE(""https://docs.google.com/spreadsheets/d/1QqKyyYR6Q21VydFLVH3TRQUabQu_ym0Zz7PgGX0-kHA/edit?usp=sharing"",""แผน!FE81"")"),0)</f>
        <v>0</v>
      </c>
      <c r="J438" s="214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IFERROR(__xludf.DUMMYFUNCTION("IMPORTRANGE(""https://docs.google.com/spreadsheets/d/1QqKyyYR6Q21VydFLVH3TRQUabQu_ym0Zz7PgGX0-kHA/edit?usp=sharing"",""แผน!FF81"")"),20)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IFERROR(__xludf.DUMMYFUNCTION("IMPORTRANGE(""https://docs.google.com/spreadsheets/d/1QqKyyYR6Q21VydFLVH3TRQUabQu_ym0Zz7PgGX0-kHA/edit?usp=sharing"",""แผน!FG81"")"),1)</f>
        <v>1</v>
      </c>
      <c r="J440" s="214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IFERROR(__xludf.DUMMYFUNCTION("IMPORTRANGE(""https://docs.google.com/spreadsheets/d/1QqKyyYR6Q21VydFLVH3TRQUabQu_ym0Zz7PgGX0-kHA/edit?usp=sharing"",""แผน!FH81"")"),0)</f>
        <v>0</v>
      </c>
      <c r="J441" s="269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30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7">L445+L446</f>
        <v>77160</v>
      </c>
      <c r="M444" s="195">
        <f t="shared" si="197"/>
        <v>0</v>
      </c>
      <c r="N444" s="195">
        <f t="shared" si="197"/>
        <v>1870</v>
      </c>
      <c r="O444" s="195">
        <f t="shared" ref="O444:O449" ca="1" si="198">IF(L444&gt;0,N444*100/L444,0)</f>
        <v>2.4235355106272678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0"/>
        <v>77160</v>
      </c>
      <c r="M446" s="93">
        <f t="shared" si="200"/>
        <v>0</v>
      </c>
      <c r="N446" s="93">
        <f t="shared" si="200"/>
        <v>1870</v>
      </c>
      <c r="O446" s="93">
        <f t="shared" ca="1" si="198"/>
        <v>2.4235355106272678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77160</v>
      </c>
      <c r="M447" s="497">
        <f t="shared" si="201"/>
        <v>0</v>
      </c>
      <c r="N447" s="497">
        <f t="shared" si="201"/>
        <v>1870</v>
      </c>
      <c r="O447" s="497">
        <f t="shared" ca="1" si="198"/>
        <v>2.4235355106272678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v>0</v>
      </c>
      <c r="N449" s="93">
        <f>N450+N451+N452+N453</f>
        <v>1870</v>
      </c>
      <c r="O449" s="93">
        <f t="shared" ca="1" si="198"/>
        <v>2.4235355106272678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1870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IFERROR(__xludf.DUMMYFUNCTION("IMPORTRANGE(""https://docs.google.com/spreadsheets/d/1QqKyyYR6Q21VydFLVH3TRQUabQu_ym0Zz7PgGX0-kHA/edit?usp=sharing"",""แผน!FN81"")"),10)</f>
        <v>10</v>
      </c>
      <c r="J460" s="214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IFERROR(__xludf.DUMMYFUNCTION("IMPORTRANGE(""https://docs.google.com/spreadsheets/d/1QqKyyYR6Q21VydFLVH3TRQUabQu_ym0Zz7PgGX0-kHA/edit?usp=sharing"",""แผน!FO81"")"),30)</f>
        <v>30</v>
      </c>
      <c r="J462" s="214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IFERROR(__xludf.DUMMYFUNCTION("IMPORTRANGE(""https://docs.google.com/spreadsheets/d/1QqKyyYR6Q21VydFLVH3TRQUabQu_ym0Zz7PgGX0-kHA/edit?usp=sharing"",""แผน!FO81"")"),30)</f>
        <v>30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IFERROR(__xludf.DUMMYFUNCTION("IMPORTRANGE(""https://docs.google.com/spreadsheets/d/1QqKyyYR6Q21VydFLVH3TRQUabQu_ym0Zz7PgGX0-kHA/edit?usp=sharing"",""แผน!FN81"")"),10)</f>
        <v>10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IFERROR(__xludf.DUMMYFUNCTION("IMPORTRANGE(""https://docs.google.com/spreadsheets/d/1QqKyyYR6Q21VydFLVH3TRQUabQu_ym0Zz7PgGX0-kHA/edit?usp=sharing"",""แผน!FX81"")"),41)</f>
        <v>41</v>
      </c>
      <c r="J465" s="584">
        <f>J485+J489+J492</f>
        <v>41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IFERROR(__xludf.DUMMYFUNCTION("IMPORTRANGE(""https://docs.google.com/spreadsheets/d/1QqKyyYR6Q21VydFLVH3TRQUabQu_ym0Zz7PgGX0-kHA/edit?usp=sharing"",""แผน!FW81"")"),400)</f>
        <v>400</v>
      </c>
      <c r="J466" s="564">
        <f>J483+J487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6">L468+L469</f>
        <v>327863</v>
      </c>
      <c r="M467" s="195">
        <f t="shared" si="206"/>
        <v>0</v>
      </c>
      <c r="N467" s="195">
        <f t="shared" si="206"/>
        <v>40880</v>
      </c>
      <c r="O467" s="195">
        <f t="shared" ref="O467:O472" ca="1" si="207">IF(L467&gt;0,N467*100/L467,0)</f>
        <v>12.468622564912783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09"/>
        <v>327863</v>
      </c>
      <c r="M469" s="93">
        <f t="shared" si="209"/>
        <v>0</v>
      </c>
      <c r="N469" s="93">
        <f t="shared" si="209"/>
        <v>40880</v>
      </c>
      <c r="O469" s="93">
        <f t="shared" ca="1" si="207"/>
        <v>12.468622564912783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327863</v>
      </c>
      <c r="M470" s="497">
        <f t="shared" si="210"/>
        <v>0</v>
      </c>
      <c r="N470" s="497">
        <f t="shared" si="210"/>
        <v>40880</v>
      </c>
      <c r="O470" s="497">
        <f t="shared" ca="1" si="207"/>
        <v>12.468622564912783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IFERROR(__xludf.DUMMYFUNCTION("IMPORTRANGE(""https://docs.google.com/spreadsheets/d/1QqKyyYR6Q21VydFLVH3TRQUabQu_ym0Zz7PgGX0-kHA/edit?usp=sharing"",""แผน!FS81"")"),327863)</f>
        <v>327863</v>
      </c>
      <c r="M472" s="93">
        <v>0</v>
      </c>
      <c r="N472" s="93">
        <f>N473+N474+N475+N476</f>
        <v>40880</v>
      </c>
      <c r="O472" s="93">
        <f t="shared" ca="1" si="207"/>
        <v>12.468622564912783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38380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2500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IFERROR(__xludf.DUMMYFUNCTION("IMPORTRANGE(""https://docs.google.com/spreadsheets/d/1QqKyyYR6Q21VydFLVH3TRQUabQu_ym0Zz7PgGX0-kHA/edit?usp=sharing"",""แผน!FY81"")"),360)</f>
        <v>360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IFERROR(__xludf.DUMMYFUNCTION("IMPORTRANGE(""https://docs.google.com/spreadsheets/d/1QqKyyYR6Q21VydFLVH3TRQUabQu_ym0Zz7PgGX0-kHA/edit?usp=sharing"",""แผน!FZ81"")"),36)</f>
        <v>36</v>
      </c>
      <c r="J485" s="214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IFERROR(__xludf.DUMMYFUNCTION("IMPORTRANGE(""https://docs.google.com/spreadsheets/d/1QqKyyYR6Q21VydFLVH3TRQUabQu_ym0Zz7PgGX0-kHA/edit?usp=sharing"",""แผน!GA81"")"),40)</f>
        <v>40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IFERROR(__xludf.DUMMYFUNCTION("IMPORTRANGE(""https://docs.google.com/spreadsheets/d/1QqKyyYR6Q21VydFLVH3TRQUabQu_ym0Zz7PgGX0-kHA/edit?usp=sharing"",""แผน!GB81"")"),4)</f>
        <v>4</v>
      </c>
      <c r="J489" s="214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IFERROR(__xludf.DUMMYFUNCTION("IMPORTRANGE(""https://docs.google.com/spreadsheets/d/1QqKyyYR6Q21VydFLVH3TRQUabQu_ym0Zz7PgGX0-kHA/edit?usp=sharing"",""แผน!GC81"")"),1)</f>
        <v>1</v>
      </c>
      <c r="J492" s="214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IFERROR(__xludf.DUMMYFUNCTION("IMPORTRANGE(""https://docs.google.com/spreadsheets/d/1QqKyyYR6Q21VydFLVH3TRQUabQu_ym0Zz7PgGX0-kHA/edit?usp=sharing"",""แผน!FY81"")"),360)</f>
        <v>360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IFERROR(__xludf.DUMMYFUNCTION("IMPORTRANGE(""https://docs.google.com/spreadsheets/d/1QqKyyYR6Q21VydFLVH3TRQUabQu_ym0Zz7PgGX0-kHA/edit?usp=sharing"",""แผน!GA81"")"),40)</f>
        <v>40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5">I537</f>
        <v>0</v>
      </c>
      <c r="J522" s="700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IFERROR(__xludf.DUMMYFUNCTION("IMPORTRANGE(""https://docs.google.com/spreadsheets/d/1QqKyyYR6Q21VydFLVH3TRQUabQu_ym0Zz7PgGX0-kHA/edit?usp=sharing"",""แผน!GU81"")"),0)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IFERROR(__xludf.DUMMYFUNCTION("IMPORTRANGE(""https://docs.google.com/spreadsheets/d/1QqKyyYR6Q21VydFLVH3TRQUabQu_ym0Zz7PgGX0-kHA/edit?usp=sharing"",""แผน!GV81"")"),0)</f>
        <v>0</v>
      </c>
      <c r="J538" s="214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IFERROR(__xludf.DUMMYFUNCTION("IMPORTRANGE(""https://docs.google.com/spreadsheets/d/1QqKyyYR6Q21VydFLVH3TRQUabQu_ym0Zz7PgGX0-kHA/edit?usp=sharing"",""แผน!GW81"")"),0)</f>
        <v>0</v>
      </c>
      <c r="J539" s="214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IFERROR(__xludf.DUMMYFUNCTION("IMPORTRANGE(""https://docs.google.com/spreadsheets/d/1QqKyyYR6Q21VydFLVH3TRQUabQu_ym0Zz7PgGX0-kHA/edit?usp=sharing"",""แผน!GX81"")"),0)</f>
        <v>0</v>
      </c>
      <c r="J540" s="214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IFERROR(__xludf.DUMMYFUNCTION("IMPORTRANGE(""https://docs.google.com/spreadsheets/d/1QqKyyYR6Q21VydFLVH3TRQUabQu_ym0Zz7PgGX0-kHA/edit?usp=sharing"",""แผน!GY81"")"),0)</f>
        <v>0</v>
      </c>
      <c r="J541" s="214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IFERROR(__xludf.DUMMYFUNCTION("IMPORTRANGE(""https://docs.google.com/spreadsheets/d/1QqKyyYR6Q21VydFLVH3TRQUabQu_ym0Zz7PgGX0-kHA/edit?usp=sharing"",""แผน!GZ81"")"),0)</f>
        <v>0</v>
      </c>
      <c r="J542" s="214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2360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6">L545+L546</f>
        <v>216248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39"/>
        <v>216248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216248</v>
      </c>
      <c r="M547" s="497">
        <f t="shared" si="241"/>
        <v>0</v>
      </c>
      <c r="N547" s="497">
        <f t="shared" si="241"/>
        <v>0</v>
      </c>
      <c r="O547" s="497">
        <f t="shared" ca="1" si="237"/>
        <v>0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IFERROR(__xludf.DUMMYFUNCTION("IMPORTRANGE(""https://docs.google.com/spreadsheets/d/1QqKyyYR6Q21VydFLVH3TRQUabQu_ym0Zz7PgGX0-kHA/edit?usp=sharing"",""แผน!HB81"")"),216248)</f>
        <v>216248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5">I576</f>
        <v>2360</v>
      </c>
      <c r="J559" s="700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 hidden="1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3">I593</f>
        <v>0</v>
      </c>
      <c r="J592" s="700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 hidden="1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IFERROR(__xludf.DUMMYFUNCTION("IMPORTRANGE(""https://docs.google.com/spreadsheets/d/1QqKyyYR6Q21VydFLVH3TRQUabQu_ym0Zz7PgGX0-kHA/edit?usp=sharing"",""แผน!HJ81"")"),0)</f>
        <v>0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 hidden="1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IFERROR(__xludf.DUMMYFUNCTION("IMPORTRANGE(""https://docs.google.com/spreadsheets/d/1QqKyyYR6Q21VydFLVH3TRQUabQu_ym0Zz7PgGX0-kHA/edit?usp=sharing"",""แผน!HI81"")"),0)</f>
        <v>0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 hidden="1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 hidden="1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 hidden="1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 hidden="1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 hidden="1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 hidden="1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 hidden="1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 hidden="1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 hidden="1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 hidden="1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 hidden="1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 hidden="1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 hidden="1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 hidden="1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 hidden="1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 hidden="1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59">J614+J616</f>
        <v>0</v>
      </c>
      <c r="K612" s="709">
        <f t="shared" si="258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59"/>
        <v>0</v>
      </c>
      <c r="K613" s="709">
        <f t="shared" si="258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IFERROR(__xludf.DUMMYFUNCTION("IMPORTRANGE(""https://docs.google.com/spreadsheets/d/1QqKyyYR6Q21VydFLVH3TRQUabQu_ym0Zz7PgGX0-kHA/edit?usp=sharing"",""แผน!HL81"")"),0)</f>
        <v>0</v>
      </c>
      <c r="J620" s="720">
        <f t="shared" ref="J620:J621" si="260">J622+J624+J626</f>
        <v>0</v>
      </c>
      <c r="K620" s="721">
        <f t="shared" ref="K620:K621" ca="1" si="261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IFERROR(__xludf.DUMMYFUNCTION("IMPORTRANGE(""https://docs.google.com/spreadsheets/d/1QqKyyYR6Q21VydFLVH3TRQUabQu_ym0Zz7PgGX0-kHA/edit?usp=sharing"",""แผน!HK81"")"),0)</f>
        <v>0</v>
      </c>
      <c r="J621" s="720">
        <f t="shared" si="260"/>
        <v>0</v>
      </c>
      <c r="K621" s="721">
        <f t="shared" ca="1" si="261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2">I651</f>
        <v>0</v>
      </c>
      <c r="J628" s="733">
        <f t="shared" ca="1" si="262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IFERROR(__xludf.DUMMYFUNCTION("IMPORTRANGE(""https://docs.google.com/spreadsheets/d/1QqKyyYR6Q21VydFLVH3TRQUabQu_ym0Zz7PgGX0-kHA/edit?usp=sharing"",""แผน!HR81"")"),0)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IFERROR(__xludf.DUMMYFUNCTION("IMPORTRANGE(""https://docs.google.com/spreadsheets/d/1QqKyyYR6Q21VydFLVH3TRQUabQu_ym0Zz7PgGX0-kHA/edit?usp=sharing"",""แผน!HR81"")"),0)</f>
        <v>0</v>
      </c>
      <c r="J644" s="214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IFERROR(__xludf.DUMMYFUNCTION("IMPORTRANGE(""https://docs.google.com/spreadsheets/d/1XWAQStnk-4SwqDmLtmXYiTMKHgktTP8We1SCoS47DrQ/edit?usp=sharing"",""จัดที่ดิน!AT81"")"),0)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IFERROR(__xludf.DUMMYFUNCTION("IMPORTRANGE(""https://docs.google.com/spreadsheets/d/1QqKyyYR6Q21VydFLVH3TRQUabQu_ym0Zz7PgGX0-kHA/edit?usp=sharing"",""แผน!HS81"")"),0)</f>
        <v>0</v>
      </c>
      <c r="J647" s="269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IFERROR(__xludf.DUMMYFUNCTION("IMPORTRANGE(""https://docs.google.com/spreadsheets/d/1XWAQStnk-4SwqDmLtmXYiTMKHgktTP8We1SCoS47DrQ/edit?usp=sharing"",""จัดที่ดิน!AV81"")"),0)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IFERROR(__xludf.DUMMYFUNCTION("IMPORTRANGE(""https://docs.google.com/spreadsheets/d/1QqKyyYR6Q21VydFLVH3TRQUabQu_ym0Zz7PgGX0-kHA/edit?usp=sharing"",""แผน!HS81"")"),0)</f>
        <v>0</v>
      </c>
      <c r="J649" s="269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IFERROR(__xludf.DUMMYFUNCTION("IMPORTRANGE(""https://docs.google.com/spreadsheets/d/1XWAQStnk-4SwqDmLtmXYiTMKHgktTP8We1SCoS47DrQ/edit?usp=sharing"",""จัดที่ดิน!AX81"")"),0)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IFERROR(__xludf.DUMMYFUNCTION("IMPORTRANGE(""https://docs.google.com/spreadsheets/d/1QqKyyYR6Q21VydFLVH3TRQUabQu_ym0Zz7PgGX0-kHA/edit?usp=sharing"",""แผน!HS81"")"),0)</f>
        <v>0</v>
      </c>
      <c r="J651" s="269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IFERROR(__xludf.DUMMYFUNCTION("IMPORTRANGE(""https://docs.google.com/spreadsheets/d/1XWAQStnk-4SwqDmLtmXYiTMKHgktTP8We1SCoS47DrQ/edit?usp=sharing"",""จัดที่ดิน!AZ81"")"),0)</f>
        <v>0</v>
      </c>
      <c r="K652" s="501">
        <f t="shared" si="271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2">I669</f>
        <v>0</v>
      </c>
      <c r="J654" s="700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IFERROR(__xludf.DUMMYFUNCTION("IMPORTRANGE(""https://docs.google.com/spreadsheets/d/1QqKyyYR6Q21VydFLVH3TRQUabQu_ym0Zz7PgGX0-kHA/edit?usp=sharing"",""แผน!IA81"")"),0)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IFERROR(__xludf.DUMMYFUNCTION("IMPORTRANGE(""https://docs.google.com/spreadsheets/d/1QqKyyYR6Q21VydFLVH3TRQUabQu_ym0Zz7PgGX0-kHA/edit?usp=sharing"",""แผน!HZ81"")"),0)</f>
        <v>0</v>
      </c>
      <c r="J670" s="214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IFERROR(__xludf.DUMMYFUNCTION("IMPORTRANGE(""https://docs.google.com/spreadsheets/d/1QqKyyYR6Q21VydFLVH3TRQUabQu_ym0Zz7PgGX0-kHA/edit?usp=sharing"",""แผน!HZ81"")"),0)</f>
        <v>0</v>
      </c>
      <c r="J671" s="214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IFERROR(__xludf.DUMMYFUNCTION("IMPORTRANGE(""https://docs.google.com/spreadsheets/d/1QqKyyYR6Q21VydFLVH3TRQUabQu_ym0Zz7PgGX0-kHA/edit?usp=sharing"",""แผน!IB81"")"),0)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2">L686+L687</f>
        <v>2000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5"/>
        <v>2000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2000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IFERROR(__xludf.DUMMYFUNCTION("IMPORTRANGE(""https://docs.google.com/spreadsheets/d/1QqKyyYR6Q21VydFLVH3TRQUabQu_ym0Zz7PgGX0-kHA/edit?usp=sharing"",""แผน!IC81"")"),0)</f>
        <v>0</v>
      </c>
      <c r="J699" s="269">
        <f ca="1">IFERROR(__xludf.DUMMYFUNCTION("IMPORTRANGE(""https://docs.google.com/spreadsheets/d/1XWAQStnk-4SwqDmLtmXYiTMKHgktTP8We1SCoS47DrQ/edit?usp=sharing"",""จัดที่ดิน!BB81"")"),0)</f>
        <v>0</v>
      </c>
      <c r="K699" s="497">
        <f t="shared" ref="K699:K701" ca="1" si="290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IFERROR(__xludf.DUMMYFUNCTION("IMPORTRANGE(""https://docs.google.com/spreadsheets/d/1QqKyyYR6Q21VydFLVH3TRQUabQu_ym0Zz7PgGX0-kHA/edit?usp=sharing"",""แผน!ID81"")"),0)</f>
        <v>0</v>
      </c>
      <c r="J700" s="269">
        <f ca="1">IFERROR(__xludf.DUMMYFUNCTION("IMPORTRANGE(""https://docs.google.com/spreadsheets/d/1XWAQStnk-4SwqDmLtmXYiTMKHgktTP8We1SCoS47DrQ/edit?usp=sharing"",""จัดที่ดิน!BD81"")"),0)</f>
        <v>0</v>
      </c>
      <c r="K700" s="497">
        <f t="shared" ca="1" si="290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IFERROR(__xludf.DUMMYFUNCTION("IMPORTRANGE(""https://docs.google.com/spreadsheets/d/1QqKyyYR6Q21VydFLVH3TRQUabQu_ym0Zz7PgGX0-kHA/edit?usp=sharing"",""แผน!IE81"")"),50)</f>
        <v>50</v>
      </c>
      <c r="J701" s="675">
        <f>J704+J707</f>
        <v>0</v>
      </c>
      <c r="K701" s="195">
        <f t="shared" ca="1" si="290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IFERROR(__xludf.DUMMYFUNCTION("IMPORTRANGE(""https://docs.google.com/spreadsheets/d/1QqKyyYR6Q21VydFLVH3TRQUabQu_ym0Zz7PgGX0-kHA/edit?usp=sharing"",""แผน!IF81"")"),0)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IFERROR(__xludf.DUMMYFUNCTION("IMPORTRANGE(""https://docs.google.com/spreadsheets/d/1QqKyyYR6Q21VydFLVH3TRQUabQu_ym0Zz7PgGX0-kHA/edit?usp=sharing"",""แผน!IG81"")"),50)</f>
        <v>50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IFERROR(__xludf.DUMMYFUNCTION("IMPORTRANGE(""https://docs.google.com/spreadsheets/d/1QqKyyYR6Q21VydFLVH3TRQUabQu_ym0Zz7PgGX0-kHA/edit?usp=sharing"",""แผน!IH81"")"),0)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IFERROR(__xludf.DUMMYFUNCTION("IMPORTRANGE(""https://docs.google.com/spreadsheets/d/1XWAQStnk-4SwqDmLtmXYiTMKHgktTP8We1SCoS47DrQ/edit?usp=sharing"",""จัดที่ดิน!BF81"")"),0)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IFERROR(__xludf.DUMMYFUNCTION("IMPORTRANGE(""https://docs.google.com/spreadsheets/d/1XWAQStnk-4SwqDmLtmXYiTMKHgktTP8We1SCoS47DrQ/edit?usp=sharing"",""จัดที่ดิน!BG81"")"),0)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IFERROR(__xludf.DUMMYFUNCTION("IMPORTRANGE(""https://docs.google.com/spreadsheets/d/1QqKyyYR6Q21VydFLVH3TRQUabQu_ym0Zz7PgGX0-kHA/edit?usp=sharing"",""แผน!II81"")"),0)</f>
        <v>0</v>
      </c>
      <c r="J720" s="269">
        <f ca="1">IFERROR(__xludf.DUMMYFUNCTION("IMPORTRANGE(""https://docs.google.com/spreadsheets/d/1XWAQStnk-4SwqDmLtmXYiTMKHgktTP8We1SCoS47DrQ/edit?usp=sharing"",""จัดที่ดิน!BH81"")"),0)</f>
        <v>0</v>
      </c>
      <c r="K720" s="497">
        <f t="shared" ref="K720:K723" ca="1" si="291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IFERROR(__xludf.DUMMYFUNCTION("IMPORTRANGE(""https://docs.google.com/spreadsheets/d/1QqKyyYR6Q21VydFLVH3TRQUabQu_ym0Zz7PgGX0-kHA/edit?usp=sharing"",""แผน!IJ81"")"),0)</f>
        <v>0</v>
      </c>
      <c r="J721" s="675">
        <f ca="1">J723+J726</f>
        <v>0</v>
      </c>
      <c r="K721" s="195">
        <f t="shared" ca="1" si="291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IFERROR(__xludf.DUMMYFUNCTION("IMPORTRANGE(""https://docs.google.com/spreadsheets/d/1QqKyyYR6Q21VydFLVH3TRQUabQu_ym0Zz7PgGX0-kHA/edit?usp=sharing"",""แผน!IK81"")"),0)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IFERROR(__xludf.DUMMYFUNCTION("IMPORTRANGE(""https://docs.google.com/spreadsheets/d/1QqKyyYR6Q21VydFLVH3TRQUabQu_ym0Zz7PgGX0-kHA/edit?usp=sharing"",""แผน!IL81"")"),0)</f>
        <v>0</v>
      </c>
      <c r="J723" s="269">
        <f ca="1">IFERROR(__xludf.DUMMYFUNCTION("IMPORTRANGE(""https://docs.google.com/spreadsheets/d/1XWAQStnk-4SwqDmLtmXYiTMKHgktTP8We1SCoS47DrQ/edit?usp=sharing"",""จัดที่ดิน!BM81"")"),0)</f>
        <v>0</v>
      </c>
      <c r="K723" s="497">
        <f t="shared" ca="1" si="291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IFERROR(__xludf.DUMMYFUNCTION("IMPORTRANGE(""https://docs.google.com/spreadsheets/d/1XWAQStnk-4SwqDmLtmXYiTMKHgktTP8We1SCoS47DrQ/edit?usp=sharing"",""จัดที่ดิน!BN81"")"),0)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IFERROR(__xludf.DUMMYFUNCTION("IMPORTRANGE(""https://docs.google.com/spreadsheets/d/1QqKyyYR6Q21VydFLVH3TRQUabQu_ym0Zz7PgGX0-kHA/edit?usp=sharing"",""แผน!IM81"")"),0)</f>
        <v>0</v>
      </c>
      <c r="J725" s="269">
        <f ca="1">IFERROR(__xludf.DUMMYFUNCTION("IMPORTRANGE(""https://docs.google.com/spreadsheets/d/1XWAQStnk-4SwqDmLtmXYiTMKHgktTP8We1SCoS47DrQ/edit?usp=sharing"",""จัดที่ดิน!BO81"")"),0)</f>
        <v>0</v>
      </c>
      <c r="K725" s="497">
        <f t="shared" ref="K725:K726" ca="1" si="292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IFERROR(__xludf.DUMMYFUNCTION("IMPORTRANGE(""https://docs.google.com/spreadsheets/d/1QqKyyYR6Q21VydFLVH3TRQUabQu_ym0Zz7PgGX0-kHA/edit?usp=sharing"",""แผน!IN81"")"),0)</f>
        <v>0</v>
      </c>
      <c r="J726" s="269">
        <f ca="1">IFERROR(__xludf.DUMMYFUNCTION("IMPORTRANGE(""https://docs.google.com/spreadsheets/d/1XWAQStnk-4SwqDmLtmXYiTMKHgktTP8We1SCoS47DrQ/edit?usp=sharing"",""จัดที่ดิน!BR81"")"),0)</f>
        <v>0</v>
      </c>
      <c r="K726" s="497">
        <f t="shared" ca="1" si="292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IFERROR(__xludf.DUMMYFUNCTION("IMPORTRANGE(""https://docs.google.com/spreadsheets/d/1XWAQStnk-4SwqDmLtmXYiTMKHgktTP8We1SCoS47DrQ/edit?usp=sharing"",""จัดที่ดิน!BS81"")"),0)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IFERROR(__xludf.DUMMYFUNCTION("IMPORTRANGE(""https://docs.google.com/spreadsheets/d/1QqKyyYR6Q21VydFLVH3TRQUabQu_ym0Zz7PgGX0-kHA/edit?usp=sharing"",""แผน!IO81"")"),0)</f>
        <v>0</v>
      </c>
      <c r="J728" s="269">
        <f ca="1">IFERROR(__xludf.DUMMYFUNCTION("IMPORTRANGE(""https://docs.google.com/spreadsheets/d/1XWAQStnk-4SwqDmLtmXYiTMKHgktTP8We1SCoS47DrQ/edit?usp=sharing"",""จัดที่ดิน!BT81"")"),0)</f>
        <v>0</v>
      </c>
      <c r="K728" s="497">
        <f t="shared" ref="K728:K729" ca="1" si="293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IFERROR(__xludf.DUMMYFUNCTION("IMPORTRANGE(""https://docs.google.com/spreadsheets/d/1QqKyyYR6Q21VydFLVH3TRQUabQu_ym0Zz7PgGX0-kHA/edit?usp=sharing"",""แผน!IP81"")"),0)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8">I800</f>
        <v>0</v>
      </c>
      <c r="J785" s="800">
        <f t="shared" ca="1" si="318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IFERROR(__xludf.DUMMYFUNCTION("IMPORTRANGE(""https://docs.google.com/spreadsheets/d/1MaWodYyGHDf7siQLGxnXhG4mBNTNIuy296niS2xXulU/edit?usp=sharing"",""RTK!I81"")"),0)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341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69">
        <f ca="1">IFERROR(__xludf.DUMMYFUNCTION("IMPORTRANGE(""https://docs.google.com/spreadsheets/d/19vJNZY_5yjcGF2XGBMNZRCAIB0Kwfpjp8YEOfu-bneM/edit?usp=sharing"",""งานกองทุน!F81"")"),211705.38)</f>
        <v>211705.38</v>
      </c>
      <c r="K821" s="497">
        <f t="shared" ref="K821:K828" ca="1" si="335">IF(I821&gt;0,J821*100/I821,0)</f>
        <v>17.075286355437839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IFERROR(__xludf.DUMMYFUNCTION("IMPORTRANGE(""https://docs.google.com/spreadsheets/d/19vJNZY_5yjcGF2XGBMNZRCAIB0Kwfpjp8YEOfu-bneM/edit?usp=sharing"",""งานกองทุน!C81"")"),93)</f>
        <v>93</v>
      </c>
      <c r="J822" s="269">
        <f ca="1">IFERROR(__xludf.DUMMYFUNCTION("IMPORTRANGE(""https://docs.google.com/spreadsheets/d/19vJNZY_5yjcGF2XGBMNZRCAIB0Kwfpjp8YEOfu-bneM/edit?usp=sharing"",""งานกองทุน!E81"")"),15)</f>
        <v>15</v>
      </c>
      <c r="K822" s="497">
        <f t="shared" ca="1" si="335"/>
        <v>16.129032258064516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69">
        <f ca="1">IFERROR(__xludf.DUMMYFUNCTION("IMPORTRANGE(""https://docs.google.com/spreadsheets/d/19vJNZY_5yjcGF2XGBMNZRCAIB0Kwfpjp8YEOfu-bneM/edit?usp=sharing"",""งานกองทุน!K81"")"),2550.86)</f>
        <v>2550.86</v>
      </c>
      <c r="K823" s="497">
        <f t="shared" ca="1" si="335"/>
        <v>0.96920428482476395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IFERROR(__xludf.DUMMYFUNCTION("IMPORTRANGE(""https://docs.google.com/spreadsheets/d/19vJNZY_5yjcGF2XGBMNZRCAIB0Kwfpjp8YEOfu-bneM/edit?usp=sharing"",""งานกองทุน!H81"")"),11)</f>
        <v>11</v>
      </c>
      <c r="J824" s="269">
        <f ca="1">IFERROR(__xludf.DUMMYFUNCTION("IMPORTRANGE(""https://docs.google.com/spreadsheets/d/19vJNZY_5yjcGF2XGBMNZRCAIB0Kwfpjp8YEOfu-bneM/edit?usp=sharing"",""งานกองทุน!J81"")"),3)</f>
        <v>3</v>
      </c>
      <c r="K824" s="497">
        <f t="shared" ca="1" si="335"/>
        <v>27.272727272727273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IFERROR(__xludf.DUMMYFUNCTION("IMPORTRANGE(""https://docs.google.com/spreadsheets/d/19vJNZY_5yjcGF2XGBMNZRCAIB0Kwfpjp8YEOfu-bneM/edit?usp=sharing"",""งานกองทุน!N81"")"),3429.08)</f>
        <v>3429.08</v>
      </c>
      <c r="J825" s="269">
        <f ca="1">IFERROR(__xludf.DUMMYFUNCTION("IMPORTRANGE(""https://docs.google.com/spreadsheets/d/19vJNZY_5yjcGF2XGBMNZRCAIB0Kwfpjp8YEOfu-bneM/edit?usp=sharing"",""งานกองทุน!P81"")"),1500)</f>
        <v>1500</v>
      </c>
      <c r="K825" s="497">
        <f t="shared" ca="1" si="335"/>
        <v>43.743511379145424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IFERROR(__xludf.DUMMYFUNCTION("IMPORTRANGE(""https://docs.google.com/spreadsheets/d/19vJNZY_5yjcGF2XGBMNZRCAIB0Kwfpjp8YEOfu-bneM/edit?usp=sharing"",""งานกองทุน!M81"")"),6)</f>
        <v>6</v>
      </c>
      <c r="J826" s="269">
        <f ca="1">IFERROR(__xludf.DUMMYFUNCTION("IMPORTRANGE(""https://docs.google.com/spreadsheets/d/19vJNZY_5yjcGF2XGBMNZRCAIB0Kwfpjp8YEOfu-bneM/edit?usp=sharing"",""งานกองทุน!O81"")"),1)</f>
        <v>1</v>
      </c>
      <c r="K826" s="497">
        <f t="shared" ca="1" si="335"/>
        <v>16.666666666666668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IFERROR(__xludf.DUMMYFUNCTION("IMPORTRANGE(""https://docs.google.com/spreadsheets/d/19vJNZY_5yjcGF2XGBMNZRCAIB0Kwfpjp8YEOfu-bneM/edit?usp=sharing"",""งานกองทุน!S81"")"),700000)</f>
        <v>700000</v>
      </c>
      <c r="J827" s="269">
        <f ca="1">IFERROR(__xludf.DUMMYFUNCTION("IMPORTRANGE(""https://docs.google.com/spreadsheets/d/19vJNZY_5yjcGF2XGBMNZRCAIB0Kwfpjp8YEOfu-bneM/edit?usp=sharing"",""งานกองทุน!U81"")"),0)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IFERROR(__xludf.DUMMYFUNCTION("IMPORTRANGE(""https://docs.google.com/spreadsheets/d/19vJNZY_5yjcGF2XGBMNZRCAIB0Kwfpjp8YEOfu-bneM/edit?usp=sharing"",""งานกองทุน!R81"")"),28)</f>
        <v>28</v>
      </c>
      <c r="J828" s="500">
        <f ca="1">IFERROR(__xludf.DUMMYFUNCTION("IMPORTRANGE(""https://docs.google.com/spreadsheets/d/19vJNZY_5yjcGF2XGBMNZRCAIB0Kwfpjp8YEOfu-bneM/edit?usp=sharing"",""งานกองทุน!T81"")"),0)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6A6F4-7748-4024-99D8-C06D9D851D8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821" t="s">
        <v>0</v>
      </c>
      <c r="B1" s="822"/>
      <c r="C1" s="822"/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</row>
    <row r="2" spans="1:26" ht="19.5">
      <c r="A2" s="821" t="s">
        <v>344</v>
      </c>
      <c r="B2" s="822"/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2"/>
      <c r="P2" s="822"/>
    </row>
    <row r="3" spans="1:26" ht="19.5">
      <c r="A3" s="821" t="s">
        <v>340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9" t="s">
        <v>2</v>
      </c>
      <c r="B5" s="822"/>
      <c r="C5" s="822"/>
      <c r="D5" s="822"/>
      <c r="E5" s="822"/>
      <c r="F5" s="822"/>
      <c r="G5" s="830"/>
      <c r="H5" s="823" t="s">
        <v>3</v>
      </c>
      <c r="I5" s="825" t="s">
        <v>4</v>
      </c>
      <c r="J5" s="826"/>
      <c r="K5" s="824"/>
      <c r="L5" s="827" t="s">
        <v>5</v>
      </c>
      <c r="M5" s="824"/>
      <c r="N5" s="828" t="s">
        <v>6</v>
      </c>
      <c r="O5" s="826"/>
      <c r="P5" s="824"/>
    </row>
    <row r="6" spans="1:26" ht="19.5">
      <c r="A6" s="831"/>
      <c r="B6" s="826"/>
      <c r="C6" s="826"/>
      <c r="D6" s="826"/>
      <c r="E6" s="826"/>
      <c r="F6" s="826"/>
      <c r="G6" s="824"/>
      <c r="H6" s="82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26"/>
      <c r="C7" s="826"/>
      <c r="D7" s="826"/>
      <c r="E7" s="826"/>
      <c r="F7" s="826"/>
      <c r="G7" s="82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4494938</v>
      </c>
      <c r="M8" s="22">
        <f t="shared" ca="1" si="0"/>
        <v>1875305</v>
      </c>
      <c r="N8" s="22">
        <f t="shared" ca="1" si="0"/>
        <v>1099691.67</v>
      </c>
      <c r="O8" s="22">
        <f t="shared" ref="O8:O16" ca="1" si="1">IF(L8&gt;0,N8*100/L8,0)</f>
        <v>24.46511320067151</v>
      </c>
      <c r="P8" s="22">
        <f t="shared" ref="P8:P16" ca="1" si="2">IF(M8&gt;0,N8*100/M8,0)</f>
        <v>58.640683515481484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4494938</v>
      </c>
      <c r="M10" s="30">
        <f t="shared" ca="1" si="3"/>
        <v>1875305</v>
      </c>
      <c r="N10" s="30">
        <f t="shared" ca="1" si="3"/>
        <v>1099691.67</v>
      </c>
      <c r="O10" s="30">
        <f t="shared" ca="1" si="1"/>
        <v>24.46511320067151</v>
      </c>
      <c r="P10" s="30">
        <f t="shared" ca="1" si="2"/>
        <v>58.640683515481484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69"/>
      <c r="J11" s="269"/>
      <c r="K11" s="497"/>
      <c r="L11" s="497">
        <f t="shared" ref="L11:N11" ca="1" si="4">L12+L13</f>
        <v>4140938</v>
      </c>
      <c r="M11" s="497">
        <f t="shared" ca="1" si="4"/>
        <v>1521305</v>
      </c>
      <c r="N11" s="497">
        <f t="shared" ca="1" si="4"/>
        <v>745691.66999999993</v>
      </c>
      <c r="O11" s="497">
        <f t="shared" ca="1" si="1"/>
        <v>18.007796059733327</v>
      </c>
      <c r="P11" s="497">
        <f t="shared" ca="1" si="2"/>
        <v>49.01657918694805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4140938</v>
      </c>
      <c r="M13" s="93">
        <f t="shared" ca="1" si="5"/>
        <v>1521305</v>
      </c>
      <c r="N13" s="93">
        <f t="shared" ca="1" si="5"/>
        <v>745691.66999999993</v>
      </c>
      <c r="O13" s="93">
        <f t="shared" ca="1" si="1"/>
        <v>18.007796059733327</v>
      </c>
      <c r="P13" s="93">
        <f t="shared" ca="1" si="2"/>
        <v>49.01657918694805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69"/>
      <c r="J14" s="269"/>
      <c r="K14" s="497"/>
      <c r="L14" s="497">
        <f t="shared" ref="L14:N14" ca="1" si="6">L15+L16</f>
        <v>354000</v>
      </c>
      <c r="M14" s="497">
        <f t="shared" ca="1" si="6"/>
        <v>354000</v>
      </c>
      <c r="N14" s="497">
        <f t="shared" ca="1" si="6"/>
        <v>354000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2" t="s">
        <v>22</v>
      </c>
      <c r="B17" s="826"/>
      <c r="C17" s="826"/>
      <c r="D17" s="826"/>
      <c r="E17" s="826"/>
      <c r="F17" s="826"/>
      <c r="G17" s="82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1875305</v>
      </c>
      <c r="N18" s="22">
        <f t="shared" ca="1" si="8"/>
        <v>947864.7</v>
      </c>
      <c r="O18" s="22">
        <f t="shared" ref="O18:O20" ca="1" si="9">IF(L18&gt;0,N18*100/L18,0)</f>
        <v>27.874028460269429</v>
      </c>
      <c r="P18" s="22">
        <f t="shared" ref="P18:P26" ca="1" si="10">IF(M18&gt;0,N18*100/M18,0)</f>
        <v>50.54456208456758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1875305</v>
      </c>
      <c r="N20" s="30">
        <f t="shared" ca="1" si="11"/>
        <v>947864.7</v>
      </c>
      <c r="O20" s="30">
        <f t="shared" ca="1" si="9"/>
        <v>27.874028460269429</v>
      </c>
      <c r="P20" s="30">
        <f t="shared" ca="1" si="10"/>
        <v>50.54456208456758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69"/>
      <c r="J21" s="269"/>
      <c r="K21" s="497"/>
      <c r="L21" s="497">
        <f t="shared" ref="L21:N21" ca="1" si="12">L22+L23</f>
        <v>3046530</v>
      </c>
      <c r="M21" s="497">
        <f t="shared" ca="1" si="12"/>
        <v>1521305</v>
      </c>
      <c r="N21" s="497">
        <f t="shared" ca="1" si="12"/>
        <v>593864.69999999995</v>
      </c>
      <c r="O21" s="497"/>
      <c r="P21" s="497">
        <f t="shared" ca="1" si="10"/>
        <v>39.036531136096961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ref="O22:O26" si="14">IF(L22&gt;0,N22*100/L22,0)</f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3046530</v>
      </c>
      <c r="M23" s="93">
        <f t="shared" ca="1" si="13"/>
        <v>1521305</v>
      </c>
      <c r="N23" s="93">
        <f t="shared" ca="1" si="13"/>
        <v>593864.69999999995</v>
      </c>
      <c r="O23" s="93">
        <f t="shared" ca="1" si="14"/>
        <v>19.49315122450788</v>
      </c>
      <c r="P23" s="93">
        <f t="shared" ca="1" si="10"/>
        <v>39.036531136096961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69"/>
      <c r="J24" s="269"/>
      <c r="K24" s="497"/>
      <c r="L24" s="497">
        <f t="shared" ref="L24:N24" ca="1" si="15">L25+L26</f>
        <v>354000</v>
      </c>
      <c r="M24" s="497">
        <f t="shared" ca="1" si="15"/>
        <v>354000</v>
      </c>
      <c r="N24" s="497">
        <f t="shared" ca="1" si="15"/>
        <v>354000</v>
      </c>
      <c r="O24" s="497">
        <f t="shared" ca="1" si="14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6">L48+L60+L73+L95+L126+L139+L156+L188+L172+L268+L284+L305+L322+L335+L352+L396+L409</f>
        <v>0</v>
      </c>
      <c r="M25" s="93">
        <f t="shared" si="16"/>
        <v>0</v>
      </c>
      <c r="N25" s="93">
        <f t="shared" si="16"/>
        <v>0</v>
      </c>
      <c r="O25" s="93">
        <f t="shared" si="14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6"/>
        <v>354000</v>
      </c>
      <c r="M26" s="52">
        <f t="shared" ca="1" si="16"/>
        <v>354000</v>
      </c>
      <c r="N26" s="52">
        <f t="shared" ca="1" si="16"/>
        <v>354000</v>
      </c>
      <c r="O26" s="52">
        <f t="shared" ca="1" si="14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2" t="s">
        <v>23</v>
      </c>
      <c r="B27" s="826"/>
      <c r="C27" s="826"/>
      <c r="D27" s="826"/>
      <c r="E27" s="826"/>
      <c r="F27" s="826"/>
      <c r="G27" s="82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7">L29+L30</f>
        <v>1094408</v>
      </c>
      <c r="M28" s="22">
        <f t="shared" si="17"/>
        <v>0</v>
      </c>
      <c r="N28" s="22">
        <f t="shared" si="17"/>
        <v>151826.97</v>
      </c>
      <c r="O28" s="22">
        <f t="shared" ref="O28:O37" ca="1" si="18">IF(L28&gt;0,N28*100/L28,0)</f>
        <v>13.872976988472306</v>
      </c>
      <c r="P28" s="22">
        <f t="shared" ref="P28:P37" si="19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20">L32+L35</f>
        <v>0</v>
      </c>
      <c r="M29" s="30">
        <f t="shared" si="20"/>
        <v>0</v>
      </c>
      <c r="N29" s="30">
        <f t="shared" si="20"/>
        <v>0</v>
      </c>
      <c r="O29" s="30">
        <f t="shared" si="18"/>
        <v>0</v>
      </c>
      <c r="P29" s="30">
        <f t="shared" si="19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20"/>
        <v>1094408</v>
      </c>
      <c r="M30" s="30">
        <f t="shared" si="20"/>
        <v>0</v>
      </c>
      <c r="N30" s="30">
        <f t="shared" si="20"/>
        <v>151826.97</v>
      </c>
      <c r="O30" s="30">
        <f t="shared" ca="1" si="18"/>
        <v>13.872976988472306</v>
      </c>
      <c r="P30" s="30">
        <f t="shared" si="19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69"/>
      <c r="J31" s="269"/>
      <c r="K31" s="497"/>
      <c r="L31" s="497">
        <f t="shared" ref="L31:N31" ca="1" si="21">L32+L33</f>
        <v>1094408</v>
      </c>
      <c r="M31" s="497">
        <f t="shared" si="21"/>
        <v>0</v>
      </c>
      <c r="N31" s="497">
        <f t="shared" si="21"/>
        <v>151826.97</v>
      </c>
      <c r="O31" s="497">
        <f t="shared" ca="1" si="18"/>
        <v>13.872976988472306</v>
      </c>
      <c r="P31" s="497">
        <f t="shared" si="19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2">L423+L448+L471+L506+L527+L548+L633+L659+L689+L741+L758+L774+L790+L809</f>
        <v>0</v>
      </c>
      <c r="M32" s="93">
        <f t="shared" si="22"/>
        <v>0</v>
      </c>
      <c r="N32" s="93">
        <f t="shared" si="22"/>
        <v>0</v>
      </c>
      <c r="O32" s="93">
        <f t="shared" si="18"/>
        <v>0</v>
      </c>
      <c r="P32" s="93">
        <f t="shared" si="19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2"/>
        <v>1094408</v>
      </c>
      <c r="M33" s="93">
        <f t="shared" si="22"/>
        <v>0</v>
      </c>
      <c r="N33" s="93">
        <f t="shared" si="22"/>
        <v>151826.97</v>
      </c>
      <c r="O33" s="93">
        <f t="shared" ca="1" si="18"/>
        <v>13.872976988472306</v>
      </c>
      <c r="P33" s="93">
        <f t="shared" si="19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69"/>
      <c r="J34" s="269"/>
      <c r="K34" s="497"/>
      <c r="L34" s="497">
        <f t="shared" ref="L34:N34" ca="1" si="23">L35+L36</f>
        <v>0</v>
      </c>
      <c r="M34" s="497">
        <f t="shared" si="23"/>
        <v>0</v>
      </c>
      <c r="N34" s="497">
        <f t="shared" si="23"/>
        <v>0</v>
      </c>
      <c r="O34" s="497">
        <f t="shared" ca="1" si="18"/>
        <v>0</v>
      </c>
      <c r="P34" s="497">
        <f t="shared" si="1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4">L430+L455+L478+L513+L534+L556+L640+L666+L696+L748+L765+L781+L797+L816</f>
        <v>0</v>
      </c>
      <c r="M35" s="93">
        <f t="shared" si="24"/>
        <v>0</v>
      </c>
      <c r="N35" s="93">
        <f t="shared" si="24"/>
        <v>0</v>
      </c>
      <c r="O35" s="93">
        <f t="shared" si="18"/>
        <v>0</v>
      </c>
      <c r="P35" s="93">
        <f t="shared" si="1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4"/>
        <v>0</v>
      </c>
      <c r="M36" s="52">
        <f t="shared" si="24"/>
        <v>0</v>
      </c>
      <c r="N36" s="52">
        <f t="shared" si="24"/>
        <v>0</v>
      </c>
      <c r="O36" s="52">
        <f t="shared" ca="1" si="18"/>
        <v>0</v>
      </c>
      <c r="P36" s="52">
        <f t="shared" si="1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4"/>
      <c r="J37" s="424"/>
      <c r="K37" s="58"/>
      <c r="L37" s="59">
        <f t="shared" ref="L37:N37" ca="1" si="25">L41+L53+L66+L88+L119+L132+L149+L165+L181+L261+L277+L298+L315+L328+L345+L389+L402</f>
        <v>3400530</v>
      </c>
      <c r="M37" s="59">
        <f t="shared" ca="1" si="25"/>
        <v>1875305</v>
      </c>
      <c r="N37" s="59">
        <f t="shared" ca="1" si="25"/>
        <v>947864.7</v>
      </c>
      <c r="O37" s="59">
        <f t="shared" ca="1" si="18"/>
        <v>27.874028460269429</v>
      </c>
      <c r="P37" s="59">
        <f t="shared" ca="1" si="19"/>
        <v>50.54456208456758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3" t="s">
        <v>27</v>
      </c>
      <c r="C40" s="834"/>
      <c r="D40" s="834"/>
      <c r="E40" s="834"/>
      <c r="F40" s="834"/>
      <c r="G40" s="83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6">L42+L43</f>
        <v>560900</v>
      </c>
      <c r="M41" s="85">
        <f t="shared" ca="1" si="26"/>
        <v>286300</v>
      </c>
      <c r="N41" s="85">
        <f t="shared" ca="1" si="26"/>
        <v>108800</v>
      </c>
      <c r="O41" s="85">
        <f t="shared" ref="O41:O49" ca="1" si="27">IF(L41&gt;0,N41*100/L41,0)</f>
        <v>19.397397040470672</v>
      </c>
      <c r="P41" s="85">
        <f t="shared" ref="P41:P49" ca="1" si="28">IF(M41&gt;0,N41*100/M41,0)</f>
        <v>38.002095703807193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9">L45+L48</f>
        <v>0</v>
      </c>
      <c r="M42" s="92">
        <f t="shared" si="29"/>
        <v>0</v>
      </c>
      <c r="N42" s="92">
        <f t="shared" si="29"/>
        <v>0</v>
      </c>
      <c r="O42" s="92">
        <f t="shared" si="27"/>
        <v>0</v>
      </c>
      <c r="P42" s="92">
        <f t="shared" si="28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9"/>
        <v>560900</v>
      </c>
      <c r="M43" s="92">
        <f t="shared" ca="1" si="29"/>
        <v>286300</v>
      </c>
      <c r="N43" s="92">
        <f t="shared" ca="1" si="29"/>
        <v>108800</v>
      </c>
      <c r="O43" s="92">
        <f t="shared" ca="1" si="27"/>
        <v>19.397397040470672</v>
      </c>
      <c r="P43" s="92">
        <f t="shared" ca="1" si="28"/>
        <v>38.002095703807193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69"/>
      <c r="J44" s="269"/>
      <c r="K44" s="497"/>
      <c r="L44" s="497">
        <f t="shared" ref="L44:N44" ca="1" si="30">L45+L46</f>
        <v>560900</v>
      </c>
      <c r="M44" s="497">
        <f t="shared" ca="1" si="30"/>
        <v>286300</v>
      </c>
      <c r="N44" s="497">
        <f t="shared" ca="1" si="30"/>
        <v>108800</v>
      </c>
      <c r="O44" s="497">
        <f t="shared" ca="1" si="27"/>
        <v>19.397397040470672</v>
      </c>
      <c r="P44" s="497">
        <f t="shared" ca="1" si="28"/>
        <v>38.002095703807193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7"/>
        <v>0</v>
      </c>
      <c r="P45" s="93">
        <f t="shared" si="28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IFERROR(__xludf.DUMMYFUNCTION("IMPORTRANGE(""https://docs.google.com/spreadsheets/d/1MeEWN-I1oV_STSDYn1IFDPWt_1FKiwhDph83XaGc0o0/edit?usp=sharing"",""งบพรบ!R82"")"),286300)</f>
        <v>286300</v>
      </c>
      <c r="N46" s="93">
        <f ca="1">IFERROR(__xludf.DUMMYFUNCTION("IMPORTRANGE(""https://docs.google.com/spreadsheets/d/1MeEWN-I1oV_STSDYn1IFDPWt_1FKiwhDph83XaGc0o0/edit?usp=sharing"",""งบพรบ!T82"")"),108800)</f>
        <v>108800</v>
      </c>
      <c r="O46" s="93">
        <f t="shared" ca="1" si="27"/>
        <v>19.397397040470672</v>
      </c>
      <c r="P46" s="93">
        <f t="shared" ca="1" si="28"/>
        <v>38.002095703807193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69"/>
      <c r="J47" s="269"/>
      <c r="K47" s="497"/>
      <c r="L47" s="497">
        <f t="shared" ref="L47:N47" ca="1" si="31">L48+L49</f>
        <v>0</v>
      </c>
      <c r="M47" s="497">
        <f t="shared" ca="1" si="31"/>
        <v>0</v>
      </c>
      <c r="N47" s="497">
        <f t="shared" ca="1" si="31"/>
        <v>0</v>
      </c>
      <c r="O47" s="497">
        <f t="shared" ca="1" si="27"/>
        <v>0</v>
      </c>
      <c r="P47" s="497">
        <f t="shared" ca="1" si="28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7"/>
        <v>0</v>
      </c>
      <c r="P48" s="93">
        <f t="shared" si="28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7"/>
        <v>0</v>
      </c>
      <c r="P49" s="52">
        <f t="shared" ca="1" si="28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6" t="s">
        <v>28</v>
      </c>
      <c r="B50" s="826"/>
      <c r="C50" s="826"/>
      <c r="D50" s="826"/>
      <c r="E50" s="826"/>
      <c r="F50" s="826"/>
      <c r="G50" s="82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7" t="s">
        <v>29</v>
      </c>
      <c r="C51" s="834"/>
      <c r="D51" s="834"/>
      <c r="E51" s="834"/>
      <c r="F51" s="834"/>
      <c r="G51" s="83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2">L54+L55</f>
        <v>607300</v>
      </c>
      <c r="M53" s="116">
        <f t="shared" ca="1" si="32"/>
        <v>303650</v>
      </c>
      <c r="N53" s="116">
        <f t="shared" ca="1" si="32"/>
        <v>201812.3</v>
      </c>
      <c r="O53" s="116">
        <f t="shared" ref="O53:O61" ca="1" si="33">IF(L53&gt;0,N53*100/L53,0)</f>
        <v>33.231071957846204</v>
      </c>
      <c r="P53" s="116">
        <f t="shared" ref="P53:P61" ca="1" si="34">IF(M53&gt;0,N53*100/M53,0)</f>
        <v>66.462143915692408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5">L57+L60</f>
        <v>0</v>
      </c>
      <c r="M54" s="123">
        <f t="shared" si="35"/>
        <v>0</v>
      </c>
      <c r="N54" s="123">
        <f t="shared" si="35"/>
        <v>0</v>
      </c>
      <c r="O54" s="123">
        <f t="shared" si="33"/>
        <v>0</v>
      </c>
      <c r="P54" s="123">
        <f t="shared" si="3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5"/>
        <v>607300</v>
      </c>
      <c r="M55" s="123">
        <f t="shared" ca="1" si="35"/>
        <v>303650</v>
      </c>
      <c r="N55" s="123">
        <f t="shared" ca="1" si="35"/>
        <v>201812.3</v>
      </c>
      <c r="O55" s="123">
        <f t="shared" ca="1" si="33"/>
        <v>33.231071957846204</v>
      </c>
      <c r="P55" s="123">
        <f t="shared" ca="1" si="34"/>
        <v>66.462143915692408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69"/>
      <c r="J56" s="269"/>
      <c r="K56" s="497"/>
      <c r="L56" s="497">
        <f t="shared" ref="L56:N56" ca="1" si="36">L57+L58</f>
        <v>607300</v>
      </c>
      <c r="M56" s="497">
        <f t="shared" ca="1" si="36"/>
        <v>303650</v>
      </c>
      <c r="N56" s="497">
        <f t="shared" ca="1" si="36"/>
        <v>201812.3</v>
      </c>
      <c r="O56" s="497">
        <f t="shared" ca="1" si="33"/>
        <v>33.231071957846204</v>
      </c>
      <c r="P56" s="497">
        <f t="shared" ca="1" si="34"/>
        <v>66.462143915692408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3"/>
        <v>0</v>
      </c>
      <c r="P57" s="93">
        <f t="shared" si="3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IFERROR(__xludf.DUMMYFUNCTION("IMPORTRANGE(""https://docs.google.com/spreadsheets/d/1MeEWN-I1oV_STSDYn1IFDPWt_1FKiwhDph83XaGc0o0/edit?usp=sharing"",""งบพรบ!AB82"")"),303650)</f>
        <v>303650</v>
      </c>
      <c r="N58" s="93">
        <f ca="1">IFERROR(__xludf.DUMMYFUNCTION("IMPORTRANGE(""https://docs.google.com/spreadsheets/d/1MeEWN-I1oV_STSDYn1IFDPWt_1FKiwhDph83XaGc0o0/edit?usp=sharing"",""งบพรบ!AD82"")"),201812.3)</f>
        <v>201812.3</v>
      </c>
      <c r="O58" s="93">
        <f t="shared" ca="1" si="33"/>
        <v>33.231071957846204</v>
      </c>
      <c r="P58" s="93">
        <f t="shared" ca="1" si="34"/>
        <v>66.462143915692408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69"/>
      <c r="J59" s="269"/>
      <c r="K59" s="497"/>
      <c r="L59" s="497">
        <f t="shared" ref="L59:N59" ca="1" si="37">L60+L61</f>
        <v>0</v>
      </c>
      <c r="M59" s="497">
        <f t="shared" ca="1" si="37"/>
        <v>0</v>
      </c>
      <c r="N59" s="497">
        <f t="shared" ca="1" si="37"/>
        <v>0</v>
      </c>
      <c r="O59" s="497">
        <f t="shared" ca="1" si="33"/>
        <v>0</v>
      </c>
      <c r="P59" s="497">
        <f t="shared" ca="1" si="34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3"/>
        <v>0</v>
      </c>
      <c r="P60" s="93">
        <f t="shared" si="3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3"/>
        <v>0</v>
      </c>
      <c r="P61" s="52">
        <f t="shared" ca="1" si="34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8">I76</f>
        <v>1</v>
      </c>
      <c r="J64" s="144">
        <f t="shared" si="38"/>
        <v>1</v>
      </c>
      <c r="K64" s="145">
        <f t="shared" ref="K64:K65" ca="1" si="3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8"/>
        <v>30</v>
      </c>
      <c r="J65" s="144">
        <f t="shared" si="38"/>
        <v>30</v>
      </c>
      <c r="K65" s="145">
        <f t="shared" ca="1" si="3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40">L67+L68</f>
        <v>916200</v>
      </c>
      <c r="M66" s="155">
        <f t="shared" ca="1" si="40"/>
        <v>444600</v>
      </c>
      <c r="N66" s="155">
        <f t="shared" ca="1" si="40"/>
        <v>183490.56</v>
      </c>
      <c r="O66" s="155">
        <f t="shared" ref="O66:O74" ca="1" si="41">IF(L66&gt;0,N66*100/L66,0)</f>
        <v>20.027347740667977</v>
      </c>
      <c r="P66" s="155">
        <f t="shared" ref="P66:P74" ca="1" si="42">IF(M66&gt;0,N66*100/M66,0)</f>
        <v>41.270931174089071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3">L70+L73</f>
        <v>0</v>
      </c>
      <c r="M67" s="93">
        <f t="shared" si="43"/>
        <v>0</v>
      </c>
      <c r="N67" s="93">
        <f t="shared" si="43"/>
        <v>0</v>
      </c>
      <c r="O67" s="93">
        <f t="shared" si="41"/>
        <v>0</v>
      </c>
      <c r="P67" s="93">
        <f t="shared" si="4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3"/>
        <v>916200</v>
      </c>
      <c r="M68" s="93">
        <f t="shared" ca="1" si="43"/>
        <v>444600</v>
      </c>
      <c r="N68" s="93">
        <f t="shared" ca="1" si="43"/>
        <v>183490.56</v>
      </c>
      <c r="O68" s="93">
        <f t="shared" ca="1" si="41"/>
        <v>20.027347740667977</v>
      </c>
      <c r="P68" s="93">
        <f t="shared" ca="1" si="42"/>
        <v>41.270931174089071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4">L70+L71</f>
        <v>916200</v>
      </c>
      <c r="M69" s="497">
        <f t="shared" ca="1" si="44"/>
        <v>444600</v>
      </c>
      <c r="N69" s="497">
        <f t="shared" ca="1" si="44"/>
        <v>183490.56</v>
      </c>
      <c r="O69" s="497">
        <f t="shared" ca="1" si="41"/>
        <v>20.027347740667977</v>
      </c>
      <c r="P69" s="497">
        <f t="shared" ca="1" si="42"/>
        <v>41.270931174089071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1"/>
        <v>0</v>
      </c>
      <c r="P70" s="93">
        <f t="shared" si="4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IFERROR(__xludf.DUMMYFUNCTION("IMPORTRANGE(""https://docs.google.com/spreadsheets/d/1MeEWN-I1oV_STSDYn1IFDPWt_1FKiwhDph83XaGc0o0/edit?usp=sharing"",""งบพรบ!AL82"")"),444600)</f>
        <v>444600</v>
      </c>
      <c r="N71" s="93">
        <f ca="1">IFERROR(__xludf.DUMMYFUNCTION("IMPORTRANGE(""https://docs.google.com/spreadsheets/d/1MeEWN-I1oV_STSDYn1IFDPWt_1FKiwhDph83XaGc0o0/edit?usp=sharing"",""งบพรบ!AN82"")"),183490.56)</f>
        <v>183490.56</v>
      </c>
      <c r="O71" s="93">
        <f t="shared" ca="1" si="41"/>
        <v>20.027347740667977</v>
      </c>
      <c r="P71" s="93">
        <f t="shared" ca="1" si="42"/>
        <v>41.270931174089071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5">L73+L74</f>
        <v>0</v>
      </c>
      <c r="M72" s="497">
        <f t="shared" ca="1" si="45"/>
        <v>0</v>
      </c>
      <c r="N72" s="497">
        <f t="shared" ca="1" si="45"/>
        <v>0</v>
      </c>
      <c r="O72" s="497">
        <f t="shared" ca="1" si="41"/>
        <v>0</v>
      </c>
      <c r="P72" s="497">
        <f t="shared" ca="1" si="4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1"/>
        <v>0</v>
      </c>
      <c r="P73" s="93">
        <f t="shared" si="4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1"/>
        <v>0</v>
      </c>
      <c r="P74" s="93">
        <f t="shared" ca="1" si="4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4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69">
        <f t="shared" ref="I76:J77" ca="1" si="46">I78+I80+I82</f>
        <v>1</v>
      </c>
      <c r="J76" s="269">
        <f t="shared" si="46"/>
        <v>1</v>
      </c>
      <c r="K76" s="163">
        <f t="shared" ref="K76:K84" ca="1" si="47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6"/>
        <v>30</v>
      </c>
      <c r="J77" s="269">
        <f t="shared" si="46"/>
        <v>30</v>
      </c>
      <c r="K77" s="163">
        <f t="shared" ca="1" si="47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6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4">
        <v>0</v>
      </c>
      <c r="K78" s="163">
        <f t="shared" ca="1" si="47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6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4">
        <v>0</v>
      </c>
      <c r="K79" s="163">
        <f t="shared" ca="1" si="47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6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4">
        <v>1</v>
      </c>
      <c r="K80" s="163">
        <f t="shared" ca="1" si="47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6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4">
        <v>30</v>
      </c>
      <c r="K81" s="163">
        <f t="shared" ca="1" si="47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6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4">
        <v>0</v>
      </c>
      <c r="K82" s="163">
        <f t="shared" ca="1" si="47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6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4">
        <v>0</v>
      </c>
      <c r="K83" s="163">
        <f t="shared" ca="1" si="47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4">
        <v>0</v>
      </c>
      <c r="K84" s="163">
        <f t="shared" ca="1" si="47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8">I98</f>
        <v>30</v>
      </c>
      <c r="J86" s="144">
        <f t="shared" si="48"/>
        <v>0</v>
      </c>
      <c r="K86" s="145">
        <f t="shared" ref="K86:K87" ca="1" si="49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8"/>
        <v>10</v>
      </c>
      <c r="J87" s="144">
        <f t="shared" si="48"/>
        <v>10</v>
      </c>
      <c r="K87" s="145">
        <f t="shared" ca="1" si="49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50">L89+L90</f>
        <v>86340</v>
      </c>
      <c r="M88" s="155">
        <f t="shared" ca="1" si="50"/>
        <v>21840</v>
      </c>
      <c r="N88" s="155">
        <f t="shared" ca="1" si="50"/>
        <v>20200</v>
      </c>
      <c r="O88" s="155">
        <f t="shared" ref="O88:O96" ca="1" si="51">IF(L88&gt;0,N88*100/L88,0)</f>
        <v>23.395876766272874</v>
      </c>
      <c r="P88" s="155">
        <f t="shared" ref="P88:P96" ca="1" si="52">IF(M88&gt;0,N88*100/M88,0)</f>
        <v>92.490842490842496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3">L92+L95</f>
        <v>0</v>
      </c>
      <c r="M89" s="93">
        <f t="shared" si="53"/>
        <v>0</v>
      </c>
      <c r="N89" s="93">
        <f t="shared" si="53"/>
        <v>0</v>
      </c>
      <c r="O89" s="93">
        <f t="shared" si="51"/>
        <v>0</v>
      </c>
      <c r="P89" s="93">
        <f t="shared" si="52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3"/>
        <v>86340</v>
      </c>
      <c r="M90" s="93">
        <f t="shared" ca="1" si="53"/>
        <v>21840</v>
      </c>
      <c r="N90" s="93">
        <f t="shared" ca="1" si="53"/>
        <v>20200</v>
      </c>
      <c r="O90" s="93">
        <f t="shared" ca="1" si="51"/>
        <v>23.395876766272874</v>
      </c>
      <c r="P90" s="93">
        <f t="shared" ca="1" si="52"/>
        <v>92.490842490842496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4">L92+L93</f>
        <v>86340</v>
      </c>
      <c r="M91" s="497">
        <f t="shared" ca="1" si="54"/>
        <v>21840</v>
      </c>
      <c r="N91" s="497">
        <f t="shared" ca="1" si="54"/>
        <v>20200</v>
      </c>
      <c r="O91" s="497">
        <f t="shared" ca="1" si="51"/>
        <v>23.395876766272874</v>
      </c>
      <c r="P91" s="497">
        <f t="shared" ca="1" si="52"/>
        <v>92.490842490842496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1"/>
        <v>0</v>
      </c>
      <c r="P92" s="93">
        <f t="shared" si="52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IFERROR(__xludf.DUMMYFUNCTION("IMPORTRANGE(""https://docs.google.com/spreadsheets/d/1MeEWN-I1oV_STSDYn1IFDPWt_1FKiwhDph83XaGc0o0/edit?usp=sharing"",""งบพรบ!AV82"")"),21840)</f>
        <v>21840</v>
      </c>
      <c r="N93" s="93">
        <f ca="1">IFERROR(__xludf.DUMMYFUNCTION("IMPORTRANGE(""https://docs.google.com/spreadsheets/d/1MeEWN-I1oV_STSDYn1IFDPWt_1FKiwhDph83XaGc0o0/edit?usp=sharing"",""งบพรบ!AX82"")"),20200)</f>
        <v>20200</v>
      </c>
      <c r="O93" s="93">
        <f t="shared" ca="1" si="51"/>
        <v>23.395876766272874</v>
      </c>
      <c r="P93" s="93">
        <f t="shared" ca="1" si="52"/>
        <v>92.490842490842496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5">L95+L96</f>
        <v>0</v>
      </c>
      <c r="M94" s="497">
        <f t="shared" ca="1" si="55"/>
        <v>0</v>
      </c>
      <c r="N94" s="497">
        <f t="shared" ca="1" si="55"/>
        <v>0</v>
      </c>
      <c r="O94" s="497">
        <f t="shared" ca="1" si="51"/>
        <v>0</v>
      </c>
      <c r="P94" s="497">
        <f t="shared" ca="1" si="52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1"/>
        <v>0</v>
      </c>
      <c r="P95" s="93">
        <f t="shared" si="52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1"/>
        <v>0</v>
      </c>
      <c r="P96" s="93">
        <f t="shared" ca="1" si="52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4"/>
      <c r="I97" s="184"/>
      <c r="J97" s="269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69">
        <f ca="1">IFERROR(__xludf.DUMMYFUNCTION("IMPORTRANGE(""https://docs.google.com/spreadsheets/d/1QqKyyYR6Q21VydFLVH3TRQUabQu_ym0Zz7PgGX0-kHA/edit?usp=sharing"",""แผน!K82"")"),30)</f>
        <v>30</v>
      </c>
      <c r="J98" s="269">
        <f>J102</f>
        <v>0</v>
      </c>
      <c r="K98" s="497">
        <f t="shared" ref="K98:K100" ca="1" si="56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69">
        <f ca="1">IFERROR(__xludf.DUMMYFUNCTION("IMPORTRANGE(""https://docs.google.com/spreadsheets/d/1QqKyyYR6Q21VydFLVH3TRQUabQu_ym0Zz7PgGX0-kHA/edit?usp=sharing"",""แผน!L82"")"),10)</f>
        <v>10</v>
      </c>
      <c r="J99" s="269">
        <f>J104</f>
        <v>10</v>
      </c>
      <c r="K99" s="497">
        <f t="shared" ca="1" si="56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69">
        <f ca="1">IFERROR(__xludf.DUMMYFUNCTION("IMPORTRANGE(""https://docs.google.com/spreadsheets/d/1QqKyyYR6Q21VydFLVH3TRQUabQu_ym0Zz7PgGX0-kHA/edit?usp=sharing"",""แผน!M82"")"),2)</f>
        <v>2</v>
      </c>
      <c r="J100" s="269">
        <f>J107+J110</f>
        <v>0</v>
      </c>
      <c r="K100" s="497">
        <f t="shared" ca="1" si="56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69"/>
      <c r="J101" s="269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69">
        <f ca="1">IFERROR(__xludf.DUMMYFUNCTION("IMPORTRANGE(""https://docs.google.com/spreadsheets/d/1QqKyyYR6Q21VydFLVH3TRQUabQu_ym0Zz7PgGX0-kHA/edit?usp=sharing"",""แผน!N82"")"),30)</f>
        <v>30</v>
      </c>
      <c r="J102" s="214">
        <v>0</v>
      </c>
      <c r="K102" s="497">
        <f t="shared" ref="K102:K104" ca="1" si="57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69">
        <f ca="1">IFERROR(__xludf.DUMMYFUNCTION("IMPORTRANGE(""https://docs.google.com/spreadsheets/d/1QqKyyYR6Q21VydFLVH3TRQUabQu_ym0Zz7PgGX0-kHA/edit?usp=sharing"",""แผน!O82"")"),10)</f>
        <v>10</v>
      </c>
      <c r="J103" s="214">
        <v>10</v>
      </c>
      <c r="K103" s="497">
        <f t="shared" ca="1" si="57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69">
        <f ca="1">IFERROR(__xludf.DUMMYFUNCTION("IMPORTRANGE(""https://docs.google.com/spreadsheets/d/1QqKyyYR6Q21VydFLVH3TRQUabQu_ym0Zz7PgGX0-kHA/edit?usp=sharing"",""แผน!O82"")"),10)</f>
        <v>10</v>
      </c>
      <c r="J104" s="214">
        <v>10</v>
      </c>
      <c r="K104" s="497">
        <f t="shared" ca="1" si="57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69">
        <f ca="1">IFERROR(__xludf.DUMMYFUNCTION("IMPORTRANGE(""https://docs.google.com/spreadsheets/d/1QqKyyYR6Q21VydFLVH3TRQUabQu_ym0Zz7PgGX0-kHA/edit?usp=sharing"",""แผน!P82"")"),1)</f>
        <v>1</v>
      </c>
      <c r="J106" s="214">
        <v>0</v>
      </c>
      <c r="K106" s="497">
        <f t="shared" ref="K106:K107" ca="1" si="58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69">
        <f ca="1">IFERROR(__xludf.DUMMYFUNCTION("IMPORTRANGE(""https://docs.google.com/spreadsheets/d/1QqKyyYR6Q21VydFLVH3TRQUabQu_ym0Zz7PgGX0-kHA/edit?usp=sharing"",""แผน!P82"")"),1)</f>
        <v>1</v>
      </c>
      <c r="J107" s="214">
        <v>0</v>
      </c>
      <c r="K107" s="497">
        <f t="shared" ca="1" si="58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69">
        <f ca="1">IFERROR(__xludf.DUMMYFUNCTION("IMPORTRANGE(""https://docs.google.com/spreadsheets/d/1QqKyyYR6Q21VydFLVH3TRQUabQu_ym0Zz7PgGX0-kHA/edit?usp=sharing"",""แผน!Q82"")"),1)</f>
        <v>1</v>
      </c>
      <c r="J109" s="214">
        <v>0</v>
      </c>
      <c r="K109" s="497">
        <f t="shared" ref="K109:K116" ca="1" si="59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69">
        <f ca="1">IFERROR(__xludf.DUMMYFUNCTION("IMPORTRANGE(""https://docs.google.com/spreadsheets/d/1QqKyyYR6Q21VydFLVH3TRQUabQu_ym0Zz7PgGX0-kHA/edit?usp=sharing"",""แผน!Q82"")"),1)</f>
        <v>1</v>
      </c>
      <c r="J110" s="214">
        <v>0</v>
      </c>
      <c r="K110" s="497">
        <f t="shared" ca="1" si="59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9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75">
        <f>J114</f>
        <v>0</v>
      </c>
      <c r="K111" s="195">
        <f t="shared" ca="1" si="59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60">I115+I116</f>
        <v>2</v>
      </c>
      <c r="J112" s="675">
        <f t="shared" si="60"/>
        <v>0</v>
      </c>
      <c r="K112" s="195">
        <f t="shared" ca="1" si="59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4">
        <v>0</v>
      </c>
      <c r="K113" s="497">
        <f t="shared" ca="1" si="59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4">
        <v>0</v>
      </c>
      <c r="K114" s="497">
        <f t="shared" ca="1" si="59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4">
        <v>0</v>
      </c>
      <c r="K115" s="497">
        <f t="shared" ca="1" si="59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4">
        <v>0</v>
      </c>
      <c r="K116" s="497">
        <f t="shared" ca="1" si="59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1">L120+L121</f>
        <v>0</v>
      </c>
      <c r="M119" s="155">
        <f t="shared" ca="1" si="61"/>
        <v>0</v>
      </c>
      <c r="N119" s="155">
        <f t="shared" ca="1" si="61"/>
        <v>0</v>
      </c>
      <c r="O119" s="155">
        <f t="shared" ref="O119:O127" ca="1" si="62">IF(L119&gt;0,N119*100/L119,0)</f>
        <v>0</v>
      </c>
      <c r="P119" s="155">
        <f t="shared" ref="P119:P127" ca="1" si="63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4">L123+L126</f>
        <v>0</v>
      </c>
      <c r="M120" s="93">
        <f t="shared" si="64"/>
        <v>0</v>
      </c>
      <c r="N120" s="93">
        <f t="shared" si="64"/>
        <v>0</v>
      </c>
      <c r="O120" s="93">
        <f t="shared" si="62"/>
        <v>0</v>
      </c>
      <c r="P120" s="93">
        <f t="shared" si="63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4"/>
        <v>0</v>
      </c>
      <c r="M121" s="93">
        <f t="shared" ca="1" si="64"/>
        <v>0</v>
      </c>
      <c r="N121" s="93">
        <f t="shared" ca="1" si="64"/>
        <v>0</v>
      </c>
      <c r="O121" s="93">
        <f t="shared" ca="1" si="62"/>
        <v>0</v>
      </c>
      <c r="P121" s="93">
        <f t="shared" ca="1" si="63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5">L123+L124</f>
        <v>0</v>
      </c>
      <c r="M122" s="497">
        <f t="shared" ca="1" si="65"/>
        <v>0</v>
      </c>
      <c r="N122" s="497">
        <f t="shared" ca="1" si="65"/>
        <v>0</v>
      </c>
      <c r="O122" s="497">
        <f t="shared" ca="1" si="62"/>
        <v>0</v>
      </c>
      <c r="P122" s="497">
        <f t="shared" ca="1" si="63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2"/>
        <v>0</v>
      </c>
      <c r="P123" s="93">
        <f t="shared" si="63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2"/>
        <v>0</v>
      </c>
      <c r="P124" s="93">
        <f t="shared" ca="1" si="63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6">L126+L127</f>
        <v>0</v>
      </c>
      <c r="M125" s="497">
        <f t="shared" ca="1" si="66"/>
        <v>0</v>
      </c>
      <c r="N125" s="497">
        <f t="shared" ca="1" si="66"/>
        <v>0</v>
      </c>
      <c r="O125" s="497">
        <f t="shared" ca="1" si="62"/>
        <v>0</v>
      </c>
      <c r="P125" s="497">
        <f t="shared" ca="1" si="63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2"/>
        <v>0</v>
      </c>
      <c r="P126" s="93">
        <f t="shared" si="63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2"/>
        <v>0</v>
      </c>
      <c r="P127" s="93">
        <f t="shared" ca="1" si="63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7">I146</f>
        <v>3</v>
      </c>
      <c r="J130" s="144">
        <f t="shared" si="67"/>
        <v>0</v>
      </c>
      <c r="K130" s="145">
        <f t="shared" ref="K130:K131" ca="1" si="68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9">I143</f>
        <v>30</v>
      </c>
      <c r="J131" s="144">
        <f t="shared" ca="1" si="69"/>
        <v>0</v>
      </c>
      <c r="K131" s="145">
        <f t="shared" ca="1" si="68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70">L133+L134</f>
        <v>454965</v>
      </c>
      <c r="M132" s="155">
        <f t="shared" ca="1" si="70"/>
        <v>400800</v>
      </c>
      <c r="N132" s="155">
        <f t="shared" ca="1" si="70"/>
        <v>309000</v>
      </c>
      <c r="O132" s="155">
        <f t="shared" ref="O132:O140" ca="1" si="71">IF(L132&gt;0,N132*100/L132,0)</f>
        <v>67.917312320727973</v>
      </c>
      <c r="P132" s="155">
        <f t="shared" ref="P132:P140" ca="1" si="72">IF(M132&gt;0,N132*100/M132,0)</f>
        <v>77.095808383233532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3">L136+L139</f>
        <v>0</v>
      </c>
      <c r="M133" s="93">
        <f t="shared" si="73"/>
        <v>0</v>
      </c>
      <c r="N133" s="93">
        <f t="shared" si="73"/>
        <v>0</v>
      </c>
      <c r="O133" s="93">
        <f t="shared" si="71"/>
        <v>0</v>
      </c>
      <c r="P133" s="93">
        <f t="shared" si="72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3"/>
        <v>454965</v>
      </c>
      <c r="M134" s="93">
        <f t="shared" ca="1" si="73"/>
        <v>400800</v>
      </c>
      <c r="N134" s="93">
        <f t="shared" ca="1" si="73"/>
        <v>309000</v>
      </c>
      <c r="O134" s="93">
        <f t="shared" ca="1" si="71"/>
        <v>67.917312320727973</v>
      </c>
      <c r="P134" s="93">
        <f t="shared" ca="1" si="72"/>
        <v>77.095808383233532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4">L136+L137</f>
        <v>145965</v>
      </c>
      <c r="M135" s="497">
        <f t="shared" ca="1" si="74"/>
        <v>91800</v>
      </c>
      <c r="N135" s="497">
        <f t="shared" ca="1" si="74"/>
        <v>0</v>
      </c>
      <c r="O135" s="497">
        <f t="shared" ca="1" si="71"/>
        <v>0</v>
      </c>
      <c r="P135" s="497">
        <f t="shared" ca="1" si="72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1"/>
        <v>0</v>
      </c>
      <c r="P136" s="93">
        <f t="shared" si="72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IFERROR(__xludf.DUMMYFUNCTION("IMPORTRANGE(""https://docs.google.com/spreadsheets/d/1MeEWN-I1oV_STSDYn1IFDPWt_1FKiwhDph83XaGc0o0/edit?usp=sharing"",""งบพรบ!BP82"")"),91800)</f>
        <v>91800</v>
      </c>
      <c r="N137" s="93">
        <f ca="1">IFERROR(__xludf.DUMMYFUNCTION("IMPORTRANGE(""https://docs.google.com/spreadsheets/d/1MeEWN-I1oV_STSDYn1IFDPWt_1FKiwhDph83XaGc0o0/edit?usp=sharing"",""งบพรบ!BR82"")"),0)</f>
        <v>0</v>
      </c>
      <c r="O137" s="93">
        <f t="shared" ca="1" si="71"/>
        <v>0</v>
      </c>
      <c r="P137" s="93">
        <f t="shared" ca="1" si="72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5">L139+L140</f>
        <v>309000</v>
      </c>
      <c r="M138" s="497">
        <f t="shared" ca="1" si="75"/>
        <v>309000</v>
      </c>
      <c r="N138" s="497">
        <f t="shared" ca="1" si="75"/>
        <v>309000</v>
      </c>
      <c r="O138" s="497">
        <f t="shared" ca="1" si="71"/>
        <v>100</v>
      </c>
      <c r="P138" s="497">
        <f t="shared" ca="1" si="72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1"/>
        <v>0</v>
      </c>
      <c r="P139" s="93">
        <f t="shared" si="72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1"/>
        <v>100</v>
      </c>
      <c r="P140" s="93">
        <f t="shared" ca="1" si="72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69"/>
      <c r="J141" s="269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30</v>
      </c>
      <c r="J143" s="269">
        <f ca="1">IF(AND(J144&gt;=I144,J145&gt;=I145),J145,0)</f>
        <v>0</v>
      </c>
      <c r="K143" s="497">
        <f t="shared" ref="K143:K146" ca="1" si="76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IFERROR(__xludf.DUMMYFUNCTION("IMPORTRANGE(""https://docs.google.com/spreadsheets/d/1QqKyyYR6Q21VydFLVH3TRQUabQu_ym0Zz7PgGX0-kHA/edit?usp=sharing"",""แผน!U82"")"),15)</f>
        <v>15</v>
      </c>
      <c r="J144" s="214">
        <v>0</v>
      </c>
      <c r="K144" s="497">
        <f t="shared" ca="1" si="76"/>
        <v>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IFERROR(__xludf.DUMMYFUNCTION("IMPORTRANGE(""https://docs.google.com/spreadsheets/d/1QqKyyYR6Q21VydFLVH3TRQUabQu_ym0Zz7PgGX0-kHA/edit?usp=sharing"",""แผน!V82"")"),30)</f>
        <v>30</v>
      </c>
      <c r="J145" s="214">
        <v>0</v>
      </c>
      <c r="K145" s="497">
        <f t="shared" ca="1" si="76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IFERROR(__xludf.DUMMYFUNCTION("IMPORTRANGE(""https://docs.google.com/spreadsheets/d/1QqKyyYR6Q21VydFLVH3TRQUabQu_ym0Zz7PgGX0-kHA/edit?usp=sharing"",""แผน!W82"")"),3)</f>
        <v>3</v>
      </c>
      <c r="J146" s="214">
        <v>0</v>
      </c>
      <c r="K146" s="497">
        <f t="shared" ca="1" si="76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8"/>
      <c r="F148" s="218"/>
      <c r="G148" s="219"/>
      <c r="H148" s="220" t="s">
        <v>35</v>
      </c>
      <c r="I148" s="144">
        <f t="shared" ref="I148:J148" ca="1" si="77">I159</f>
        <v>0</v>
      </c>
      <c r="J148" s="144">
        <f t="shared" si="77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8">L150+L151</f>
        <v>0</v>
      </c>
      <c r="M149" s="155">
        <f t="shared" ca="1" si="78"/>
        <v>0</v>
      </c>
      <c r="N149" s="155">
        <f t="shared" ca="1" si="78"/>
        <v>0</v>
      </c>
      <c r="O149" s="155">
        <f t="shared" ref="O149:O157" ca="1" si="79">IF(L149&gt;0,N149*100/L149,0)</f>
        <v>0</v>
      </c>
      <c r="P149" s="155">
        <f t="shared" ref="P149:P157" ca="1" si="80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1">L153+L156</f>
        <v>0</v>
      </c>
      <c r="M150" s="93">
        <f t="shared" si="81"/>
        <v>0</v>
      </c>
      <c r="N150" s="93">
        <f t="shared" si="81"/>
        <v>0</v>
      </c>
      <c r="O150" s="93">
        <f t="shared" si="79"/>
        <v>0</v>
      </c>
      <c r="P150" s="93">
        <f t="shared" si="80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1"/>
        <v>0</v>
      </c>
      <c r="M151" s="93">
        <f t="shared" ca="1" si="81"/>
        <v>0</v>
      </c>
      <c r="N151" s="93">
        <f t="shared" ca="1" si="81"/>
        <v>0</v>
      </c>
      <c r="O151" s="93">
        <f t="shared" ca="1" si="79"/>
        <v>0</v>
      </c>
      <c r="P151" s="93">
        <f t="shared" ca="1" si="80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2">L153+L154</f>
        <v>0</v>
      </c>
      <c r="M152" s="497">
        <f t="shared" ca="1" si="82"/>
        <v>0</v>
      </c>
      <c r="N152" s="497">
        <f t="shared" ca="1" si="82"/>
        <v>0</v>
      </c>
      <c r="O152" s="497">
        <f t="shared" ca="1" si="79"/>
        <v>0</v>
      </c>
      <c r="P152" s="497">
        <f t="shared" ca="1" si="80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9"/>
        <v>0</v>
      </c>
      <c r="P153" s="93">
        <f t="shared" si="80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9"/>
        <v>0</v>
      </c>
      <c r="P154" s="93">
        <f t="shared" ca="1" si="80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3">L156+L157</f>
        <v>0</v>
      </c>
      <c r="M155" s="497">
        <f t="shared" ca="1" si="83"/>
        <v>0</v>
      </c>
      <c r="N155" s="497">
        <f t="shared" ca="1" si="83"/>
        <v>0</v>
      </c>
      <c r="O155" s="497">
        <f t="shared" ca="1" si="79"/>
        <v>0</v>
      </c>
      <c r="P155" s="497">
        <f t="shared" ca="1" si="80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9"/>
        <v>0</v>
      </c>
      <c r="P156" s="93">
        <f t="shared" si="80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9"/>
        <v>0</v>
      </c>
      <c r="P157" s="93">
        <f t="shared" ca="1" si="80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69"/>
      <c r="J158" s="269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IFERROR(__xludf.DUMMYFUNCTION("IMPORTRANGE(""https://docs.google.com/spreadsheets/d/1QqKyyYR6Q21VydFLVH3TRQUabQu_ym0Zz7PgGX0-kHA/edit?usp=sharing"",""แผน!X82"")"),0)</f>
        <v>0</v>
      </c>
      <c r="J159" s="214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4">I174+I177</f>
        <v>11</v>
      </c>
      <c r="J164" s="252">
        <f t="shared" si="84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5">L166+L167</f>
        <v>22055</v>
      </c>
      <c r="M165" s="155">
        <f t="shared" ca="1" si="85"/>
        <v>22055</v>
      </c>
      <c r="N165" s="155">
        <f t="shared" ca="1" si="85"/>
        <v>0</v>
      </c>
      <c r="O165" s="155">
        <f t="shared" ref="O165:O173" ca="1" si="86">IF(L165&gt;0,N165*100/L165,0)</f>
        <v>0</v>
      </c>
      <c r="P165" s="155">
        <f t="shared" ref="P165:P173" ca="1" si="87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8">L169+L172</f>
        <v>0</v>
      </c>
      <c r="M166" s="93">
        <f t="shared" si="88"/>
        <v>0</v>
      </c>
      <c r="N166" s="93">
        <f t="shared" si="88"/>
        <v>0</v>
      </c>
      <c r="O166" s="93">
        <f t="shared" si="86"/>
        <v>0</v>
      </c>
      <c r="P166" s="93">
        <f t="shared" si="8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8"/>
        <v>22055</v>
      </c>
      <c r="M167" s="93">
        <f t="shared" ca="1" si="88"/>
        <v>22055</v>
      </c>
      <c r="N167" s="93">
        <f t="shared" ca="1" si="88"/>
        <v>0</v>
      </c>
      <c r="O167" s="93">
        <f t="shared" ca="1" si="86"/>
        <v>0</v>
      </c>
      <c r="P167" s="93">
        <f t="shared" ca="1" si="87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9">L169+L170</f>
        <v>22055</v>
      </c>
      <c r="M168" s="497">
        <f t="shared" ca="1" si="89"/>
        <v>22055</v>
      </c>
      <c r="N168" s="497">
        <f t="shared" ca="1" si="89"/>
        <v>0</v>
      </c>
      <c r="O168" s="497">
        <f t="shared" ca="1" si="86"/>
        <v>0</v>
      </c>
      <c r="P168" s="497">
        <f t="shared" ca="1" si="87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6"/>
        <v>0</v>
      </c>
      <c r="P169" s="93">
        <f t="shared" si="8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IFERROR(__xludf.DUMMYFUNCTION("IMPORTRANGE(""https://docs.google.com/spreadsheets/d/1MeEWN-I1oV_STSDYn1IFDPWt_1FKiwhDph83XaGc0o0/edit?usp=sharing"",""งบพรบ!CJ82"")"),22055)</f>
        <v>22055</v>
      </c>
      <c r="N170" s="93">
        <f ca="1">IFERROR(__xludf.DUMMYFUNCTION("IMPORTRANGE(""https://docs.google.com/spreadsheets/d/1MeEWN-I1oV_STSDYn1IFDPWt_1FKiwhDph83XaGc0o0/edit?usp=sharing"",""งบพรบ!CL82"")"),0)</f>
        <v>0</v>
      </c>
      <c r="O170" s="93">
        <f t="shared" ca="1" si="86"/>
        <v>0</v>
      </c>
      <c r="P170" s="93">
        <f t="shared" ca="1" si="87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90">L172+L173</f>
        <v>0</v>
      </c>
      <c r="M171" s="497">
        <f t="shared" ca="1" si="90"/>
        <v>0</v>
      </c>
      <c r="N171" s="497">
        <f t="shared" ca="1" si="90"/>
        <v>0</v>
      </c>
      <c r="O171" s="497">
        <f t="shared" ca="1" si="86"/>
        <v>0</v>
      </c>
      <c r="P171" s="497">
        <f t="shared" ca="1" si="8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6"/>
        <v>0</v>
      </c>
      <c r="P172" s="93">
        <f t="shared" si="8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6"/>
        <v>0</v>
      </c>
      <c r="P173" s="93">
        <f t="shared" ca="1" si="8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1">I176</f>
        <v>11</v>
      </c>
      <c r="J174" s="260">
        <f t="shared" si="91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4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8" t="s">
        <v>85</v>
      </c>
      <c r="E176" s="178"/>
      <c r="F176" s="178"/>
      <c r="G176" s="179"/>
      <c r="H176" s="617" t="s">
        <v>35</v>
      </c>
      <c r="I176" s="269">
        <f ca="1">IFERROR(__xludf.DUMMYFUNCTION("IMPORTRANGE(""https://docs.google.com/spreadsheets/d/1QqKyyYR6Q21VydFLVH3TRQUabQu_ym0Zz7PgGX0-kHA/edit?usp=sharing"",""แผน!Y82"")"),11)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4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2">I225+I226</f>
        <v>0</v>
      </c>
      <c r="J180" s="252">
        <f t="shared" si="92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3">L182+L183</f>
        <v>38500</v>
      </c>
      <c r="M181" s="155">
        <f t="shared" ca="1" si="93"/>
        <v>21000</v>
      </c>
      <c r="N181" s="155">
        <f t="shared" ca="1" si="93"/>
        <v>0</v>
      </c>
      <c r="O181" s="155">
        <f t="shared" ref="O181:O189" ca="1" si="94">IF(L181&gt;0,N181*100/L181,0)</f>
        <v>0</v>
      </c>
      <c r="P181" s="155">
        <f t="shared" ref="P181:P189" ca="1" si="95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6">L185+L188</f>
        <v>0</v>
      </c>
      <c r="M182" s="93">
        <f t="shared" si="96"/>
        <v>0</v>
      </c>
      <c r="N182" s="93">
        <f t="shared" si="96"/>
        <v>0</v>
      </c>
      <c r="O182" s="93">
        <f t="shared" si="94"/>
        <v>0</v>
      </c>
      <c r="P182" s="93">
        <f t="shared" si="9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6"/>
        <v>38500</v>
      </c>
      <c r="M183" s="93">
        <f t="shared" ca="1" si="96"/>
        <v>21000</v>
      </c>
      <c r="N183" s="93">
        <f t="shared" ca="1" si="96"/>
        <v>0</v>
      </c>
      <c r="O183" s="93">
        <f t="shared" ca="1" si="94"/>
        <v>0</v>
      </c>
      <c r="P183" s="93">
        <f t="shared" ca="1" si="95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7">L185+L186</f>
        <v>38500</v>
      </c>
      <c r="M184" s="497">
        <f t="shared" ca="1" si="97"/>
        <v>21000</v>
      </c>
      <c r="N184" s="497">
        <f t="shared" ca="1" si="97"/>
        <v>0</v>
      </c>
      <c r="O184" s="497">
        <f t="shared" ca="1" si="94"/>
        <v>0</v>
      </c>
      <c r="P184" s="497">
        <f t="shared" ca="1" si="95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4"/>
        <v>0</v>
      </c>
      <c r="P185" s="93">
        <f t="shared" si="9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IFERROR(__xludf.DUMMYFUNCTION("IMPORTRANGE(""https://docs.google.com/spreadsheets/d/1MeEWN-I1oV_STSDYn1IFDPWt_1FKiwhDph83XaGc0o0/edit?usp=sharing"",""งบพรบ!CT82"")"),21000)</f>
        <v>21000</v>
      </c>
      <c r="N186" s="93">
        <f ca="1">IFERROR(__xludf.DUMMYFUNCTION("IMPORTRANGE(""https://docs.google.com/spreadsheets/d/1MeEWN-I1oV_STSDYn1IFDPWt_1FKiwhDph83XaGc0o0/edit?usp=sharing"",""งบพรบ!CV82"")"),0)</f>
        <v>0</v>
      </c>
      <c r="O186" s="93">
        <f t="shared" ca="1" si="94"/>
        <v>0</v>
      </c>
      <c r="P186" s="93">
        <f t="shared" ca="1" si="95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8">L188+L189</f>
        <v>0</v>
      </c>
      <c r="M187" s="497">
        <f t="shared" ca="1" si="98"/>
        <v>0</v>
      </c>
      <c r="N187" s="497">
        <f t="shared" ca="1" si="98"/>
        <v>0</v>
      </c>
      <c r="O187" s="497">
        <f t="shared" ca="1" si="94"/>
        <v>0</v>
      </c>
      <c r="P187" s="497">
        <f t="shared" ca="1" si="9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4"/>
        <v>0</v>
      </c>
      <c r="P188" s="93">
        <f t="shared" si="9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4"/>
        <v>0</v>
      </c>
      <c r="P189" s="93">
        <f t="shared" ca="1" si="9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9">I193</f>
        <v>4</v>
      </c>
      <c r="J190" s="271">
        <f t="shared" si="99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51" t="s">
        <v>17</v>
      </c>
      <c r="E191" s="148"/>
      <c r="F191" s="148"/>
      <c r="G191" s="151"/>
      <c r="H191" s="274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7" t="s">
        <v>38</v>
      </c>
      <c r="E192" s="173"/>
      <c r="F192" s="173"/>
      <c r="G192" s="174"/>
      <c r="H192" s="754"/>
      <c r="I192" s="269"/>
      <c r="J192" s="269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6" t="s">
        <v>90</v>
      </c>
      <c r="I193" s="269">
        <f ca="1">IFERROR(__xludf.DUMMYFUNCTION("IMPORTRANGE(""https://docs.google.com/spreadsheets/d/1QqKyyYR6Q21VydFLVH3TRQUabQu_ym0Zz7PgGX0-kHA/edit?usp=sharing"",""แผน!AC82"")"),4)</f>
        <v>4</v>
      </c>
      <c r="J193" s="214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6" t="s">
        <v>35</v>
      </c>
      <c r="I194" s="269"/>
      <c r="J194" s="269">
        <f>J195+J196</f>
        <v>34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6" t="s">
        <v>35</v>
      </c>
      <c r="I195" s="269"/>
      <c r="J195" s="214">
        <v>34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6" t="s">
        <v>35</v>
      </c>
      <c r="I196" s="269"/>
      <c r="J196" s="214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100">I204</f>
        <v>2</v>
      </c>
      <c r="J197" s="271">
        <f t="shared" si="100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51" t="s">
        <v>17</v>
      </c>
      <c r="E198" s="148"/>
      <c r="F198" s="148"/>
      <c r="G198" s="151"/>
      <c r="H198" s="274" t="s">
        <v>12</v>
      </c>
      <c r="I198" s="419"/>
      <c r="J198" s="419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IFERROR(__xludf.DUMMYFUNCTION("IMPORTRANGE(""https://docs.google.com/spreadsheets/d/1QqKyyYR6Q21VydFLVH3TRQUabQu_ym0Zz7PgGX0-kHA/edit?usp=sharing"",""แผน!AE82"")"),2000)</f>
        <v>2000</v>
      </c>
      <c r="M199" s="497"/>
      <c r="N199" s="81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7" t="s">
        <v>12</v>
      </c>
      <c r="I200" s="269"/>
      <c r="J200" s="269"/>
      <c r="K200" s="497"/>
      <c r="L200" s="497">
        <f ca="1">IFERROR(__xludf.DUMMYFUNCTION("IMPORTRANGE(""https://docs.google.com/spreadsheets/d/1QqKyyYR6Q21VydFLVH3TRQUabQu_ym0Zz7PgGX0-kHA/edit?usp=sharing"",""แผน!AF82"")"),16000)</f>
        <v>16000</v>
      </c>
      <c r="M200" s="497"/>
      <c r="N200" s="818">
        <v>0</v>
      </c>
      <c r="O200" s="497"/>
      <c r="P200" s="497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7" t="s">
        <v>12</v>
      </c>
      <c r="I201" s="269"/>
      <c r="J201" s="269"/>
      <c r="K201" s="497"/>
      <c r="L201" s="497">
        <f ca="1">IFERROR(__xludf.DUMMYFUNCTION("IMPORTRANGE(""https://docs.google.com/spreadsheets/d/1QqKyyYR6Q21VydFLVH3TRQUabQu_ym0Zz7PgGX0-kHA/edit?usp=sharing"",""แผน!AG82"")"),8000)</f>
        <v>8000</v>
      </c>
      <c r="M201" s="497"/>
      <c r="N201" s="818">
        <v>0</v>
      </c>
      <c r="O201" s="497"/>
      <c r="P201" s="497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7" t="s">
        <v>12</v>
      </c>
      <c r="I202" s="269"/>
      <c r="J202" s="269"/>
      <c r="K202" s="497"/>
      <c r="L202" s="497">
        <f ca="1">IFERROR(__xludf.DUMMYFUNCTION("IMPORTRANGE(""https://docs.google.com/spreadsheets/d/1QqKyyYR6Q21VydFLVH3TRQUabQu_ym0Zz7PgGX0-kHA/edit?usp=sharing"",""แผน!AH82"")"),0)</f>
        <v>0</v>
      </c>
      <c r="M202" s="497"/>
      <c r="N202" s="818">
        <v>0</v>
      </c>
      <c r="O202" s="497"/>
      <c r="P202" s="497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7" t="s">
        <v>38</v>
      </c>
      <c r="E203" s="173"/>
      <c r="F203" s="173"/>
      <c r="G203" s="174"/>
      <c r="H203" s="754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4" t="s">
        <v>96</v>
      </c>
      <c r="I204" s="269">
        <f ca="1">IFERROR(__xludf.DUMMYFUNCTION("IMPORTRANGE(""https://docs.google.com/spreadsheets/d/1QqKyyYR6Q21VydFLVH3TRQUabQu_ym0Zz7PgGX0-kHA/edit?usp=sharing"",""แผน!AI82"")"),2)</f>
        <v>2</v>
      </c>
      <c r="J204" s="214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4"/>
      <c r="I205" s="269"/>
      <c r="J205" s="269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101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1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2">I215</f>
        <v>0</v>
      </c>
      <c r="J208" s="271">
        <f t="shared" si="102"/>
        <v>0</v>
      </c>
      <c r="K208" s="272">
        <f t="shared" ca="1" si="101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51" t="s">
        <v>17</v>
      </c>
      <c r="E209" s="148"/>
      <c r="F209" s="148"/>
      <c r="G209" s="151"/>
      <c r="H209" s="274" t="s">
        <v>12</v>
      </c>
      <c r="I209" s="419"/>
      <c r="J209" s="419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IFERROR(__xludf.DUMMYFUNCTION("IMPORTRANGE(""https://docs.google.com/spreadsheets/d/1QqKyyYR6Q21VydFLVH3TRQUabQu_ym0Zz7PgGX0-kHA/edit?usp=sharing"",""แผน!AK82"")"),0)</f>
        <v>0</v>
      </c>
      <c r="M210" s="497"/>
      <c r="N210" s="81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7"/>
      <c r="L211" s="497">
        <f ca="1">IFERROR(__xludf.DUMMYFUNCTION("IMPORTRANGE(""https://docs.google.com/spreadsheets/d/1QqKyyYR6Q21VydFLVH3TRQUabQu_ym0Zz7PgGX0-kHA/edit?usp=sharing"",""แผน!AL82"")"),0)</f>
        <v>0</v>
      </c>
      <c r="M211" s="497"/>
      <c r="N211" s="818">
        <v>0</v>
      </c>
      <c r="O211" s="497"/>
      <c r="P211" s="497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7"/>
      <c r="L212" s="497">
        <f ca="1">IFERROR(__xludf.DUMMYFUNCTION("IMPORTRANGE(""https://docs.google.com/spreadsheets/d/1QqKyyYR6Q21VydFLVH3TRQUabQu_ym0Zz7PgGX0-kHA/edit?usp=sharing"",""แผน!AM82"")"),0)</f>
        <v>0</v>
      </c>
      <c r="M212" s="497"/>
      <c r="N212" s="818">
        <v>0</v>
      </c>
      <c r="O212" s="497"/>
      <c r="P212" s="497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7" t="s">
        <v>38</v>
      </c>
      <c r="E213" s="173"/>
      <c r="F213" s="173"/>
      <c r="G213" s="174"/>
      <c r="H213" s="754"/>
      <c r="I213" s="184"/>
      <c r="J213" s="269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4" t="s">
        <v>96</v>
      </c>
      <c r="I214" s="269">
        <f ca="1">IFERROR(__xludf.DUMMYFUNCTION("IMPORTRANGE(""https://docs.google.com/spreadsheets/d/1QqKyyYR6Q21VydFLVH3TRQUabQu_ym0Zz7PgGX0-kHA/edit?usp=sharing"",""แผน!AN82"")"),0)</f>
        <v>0</v>
      </c>
      <c r="J214" s="214">
        <v>0</v>
      </c>
      <c r="K214" s="497">
        <f t="shared" ref="K214:K216" ca="1" si="103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4" t="s">
        <v>96</v>
      </c>
      <c r="I215" s="269">
        <f ca="1">IFERROR(__xludf.DUMMYFUNCTION("IMPORTRANGE(""https://docs.google.com/spreadsheets/d/1QqKyyYR6Q21VydFLVH3TRQUabQu_ym0Zz7PgGX0-kHA/edit?usp=sharing"",""แผน!AN82"")"),0)</f>
        <v>0</v>
      </c>
      <c r="J215" s="214">
        <v>0</v>
      </c>
      <c r="K215" s="497">
        <f t="shared" ca="1" si="103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4">I224</f>
        <v>10000</v>
      </c>
      <c r="J216" s="271">
        <f t="shared" si="104"/>
        <v>0</v>
      </c>
      <c r="K216" s="272">
        <f t="shared" ca="1" si="103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51" t="s">
        <v>17</v>
      </c>
      <c r="E217" s="148"/>
      <c r="F217" s="148"/>
      <c r="G217" s="151"/>
      <c r="H217" s="274" t="s">
        <v>12</v>
      </c>
      <c r="I217" s="419"/>
      <c r="J217" s="419"/>
      <c r="K217" s="279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IFERROR(__xludf.DUMMYFUNCTION("IMPORTRANGE(""https://docs.google.com/spreadsheets/d/1QqKyyYR6Q21VydFLVH3TRQUabQu_ym0Zz7PgGX0-kHA/edit?usp=sharing"",""แผน!AP82"")"),3000)</f>
        <v>3000</v>
      </c>
      <c r="M218" s="497"/>
      <c r="N218" s="81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7"/>
      <c r="L219" s="497">
        <f ca="1">IFERROR(__xludf.DUMMYFUNCTION("IMPORTRANGE(""https://docs.google.com/spreadsheets/d/1QqKyyYR6Q21VydFLVH3TRQUabQu_ym0Zz7PgGX0-kHA/edit?usp=sharing"",""แผน!AQ82"")"),3500)</f>
        <v>3500</v>
      </c>
      <c r="M219" s="497"/>
      <c r="N219" s="818">
        <v>0</v>
      </c>
      <c r="O219" s="497"/>
      <c r="P219" s="497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7"/>
      <c r="L220" s="497">
        <f ca="1">IFERROR(__xludf.DUMMYFUNCTION("IMPORTRANGE(""https://docs.google.com/spreadsheets/d/1QqKyyYR6Q21VydFLVH3TRQUabQu_ym0Zz7PgGX0-kHA/edit?usp=sharing"",""แผน!AR82"")"),0)</f>
        <v>0</v>
      </c>
      <c r="M220" s="497"/>
      <c r="N220" s="818">
        <v>0</v>
      </c>
      <c r="O220" s="497"/>
      <c r="P220" s="497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7" t="s">
        <v>38</v>
      </c>
      <c r="E221" s="173"/>
      <c r="F221" s="173"/>
      <c r="G221" s="174"/>
      <c r="H221" s="754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4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6" t="s">
        <v>109</v>
      </c>
      <c r="I223" s="269">
        <f ca="1">IFERROR(__xludf.DUMMYFUNCTION("IMPORTRANGE(""https://docs.google.com/spreadsheets/d/1QqKyyYR6Q21VydFLVH3TRQUabQu_ym0Zz7PgGX0-kHA/edit?usp=sharing"",""แผน!AT82"")"),10000)</f>
        <v>10000</v>
      </c>
      <c r="J223" s="214">
        <v>0</v>
      </c>
      <c r="K223" s="163">
        <f t="shared" ref="K223:K226" ca="1" si="10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6" t="s">
        <v>109</v>
      </c>
      <c r="I224" s="269">
        <f ca="1">IFERROR(__xludf.DUMMYFUNCTION("IMPORTRANGE(""https://docs.google.com/spreadsheets/d/1QqKyyYR6Q21VydFLVH3TRQUabQu_ym0Zz7PgGX0-kHA/edit?usp=sharing"",""แผน!AT82"")"),10000)</f>
        <v>10000</v>
      </c>
      <c r="J224" s="214">
        <v>0</v>
      </c>
      <c r="K224" s="163">
        <f t="shared" ca="1" si="105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6" t="s">
        <v>35</v>
      </c>
      <c r="I225" s="269">
        <f ca="1">IFERROR(__xludf.DUMMYFUNCTION("IMPORTRANGE(""https://docs.google.com/spreadsheets/d/1QqKyyYR6Q21VydFLVH3TRQUabQu_ym0Zz7PgGX0-kHA/edit?usp=sharing"",""แผน!AS82"")"),0)</f>
        <v>0</v>
      </c>
      <c r="J225" s="214">
        <v>0</v>
      </c>
      <c r="K225" s="163">
        <f t="shared" ca="1" si="105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6">I237+I248</f>
        <v>0</v>
      </c>
      <c r="J226" s="344">
        <f t="shared" si="106"/>
        <v>0</v>
      </c>
      <c r="K226" s="345">
        <f t="shared" ca="1" si="105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2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7">L238+L249</f>
        <v>0</v>
      </c>
      <c r="M227" s="355"/>
      <c r="N227" s="355">
        <f t="shared" ref="N227:N231" si="108">N238+N249</f>
        <v>0</v>
      </c>
      <c r="O227" s="853"/>
      <c r="P227" s="853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7"/>
        <v>0</v>
      </c>
      <c r="M228" s="93"/>
      <c r="N228" s="93">
        <f t="shared" si="108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7"/>
        <v>0</v>
      </c>
      <c r="M229" s="93"/>
      <c r="N229" s="93">
        <f t="shared" si="108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7"/>
        <v>0</v>
      </c>
      <c r="M230" s="93"/>
      <c r="N230" s="93">
        <f t="shared" si="108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7"/>
        <v>0</v>
      </c>
      <c r="M231" s="93"/>
      <c r="N231" s="93">
        <f t="shared" si="108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1">
        <f t="shared" ref="I233:J233" ca="1" si="109">I244+I255</f>
        <v>0</v>
      </c>
      <c r="J233" s="611">
        <f t="shared" si="109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1">
        <f t="shared" ref="I235:J236" si="110">I246+I257</f>
        <v>0</v>
      </c>
      <c r="J235" s="611">
        <f t="shared" si="110"/>
        <v>0</v>
      </c>
      <c r="K235" s="93">
        <f t="shared" ref="K235:K237" si="111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1">
        <f t="shared" si="110"/>
        <v>0</v>
      </c>
      <c r="J236" s="611">
        <f t="shared" si="110"/>
        <v>0</v>
      </c>
      <c r="K236" s="93">
        <f t="shared" si="111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2">I244</f>
        <v>0</v>
      </c>
      <c r="J237" s="271">
        <f t="shared" si="112"/>
        <v>0</v>
      </c>
      <c r="K237" s="272">
        <f t="shared" ca="1" si="111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4" t="s">
        <v>12</v>
      </c>
      <c r="I238" s="419"/>
      <c r="J238" s="419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IFERROR(__xludf.DUMMYFUNCTION("IMPORTRANGE(""https://docs.google.com/spreadsheets/d/1QqKyyYR6Q21VydFLVH3TRQUabQu_ym0Zz7PgGX0-kHA/edit?usp=sharing"",""แผน!AV82"")"),0)</f>
        <v>0</v>
      </c>
      <c r="M239" s="321"/>
      <c r="N239" s="854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IFERROR(__xludf.DUMMYFUNCTION("IMPORTRANGE(""https://docs.google.com/spreadsheets/d/1QqKyyYR6Q21VydFLVH3TRQUabQu_ym0Zz7PgGX0-kHA/edit?usp=sharing"",""แผน!AW82"")"),0)</f>
        <v>0</v>
      </c>
      <c r="M240" s="321"/>
      <c r="N240" s="854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IFERROR(__xludf.DUMMYFUNCTION("IMPORTRANGE(""https://docs.google.com/spreadsheets/d/1QqKyyYR6Q21VydFLVH3TRQUabQu_ym0Zz7PgGX0-kHA/edit?usp=sharing"",""แผน!AX82"")"),0)</f>
        <v>0</v>
      </c>
      <c r="M241" s="321"/>
      <c r="N241" s="854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IFERROR(__xludf.DUMMYFUNCTION("IMPORTRANGE(""https://docs.google.com/spreadsheets/d/1QqKyyYR6Q21VydFLVH3TRQUabQu_ym0Zz7PgGX0-kHA/edit?usp=sharing"",""แผน!AY82"")"),0)</f>
        <v>0</v>
      </c>
      <c r="M242" s="321"/>
      <c r="N242" s="854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7" t="s">
        <v>38</v>
      </c>
      <c r="E243" s="173"/>
      <c r="F243" s="173"/>
      <c r="G243" s="174"/>
      <c r="H243" s="754"/>
      <c r="I243" s="184"/>
      <c r="J243" s="269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6" t="s">
        <v>35</v>
      </c>
      <c r="I244" s="269">
        <f ca="1">IFERROR(__xludf.DUMMYFUNCTION("IMPORTRANGE(""https://docs.google.com/spreadsheets/d/1QqKyyYR6Q21VydFLVH3TRQUabQu_ym0Zz7PgGX0-kHA/edit?usp=sharing"",""แผน!BE82"")"),0)</f>
        <v>0</v>
      </c>
      <c r="J244" s="214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5" t="s">
        <v>43</v>
      </c>
      <c r="E245" s="178"/>
      <c r="F245" s="178"/>
      <c r="G245" s="179"/>
      <c r="H245" s="756"/>
      <c r="I245" s="269"/>
      <c r="J245" s="269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6" t="s">
        <v>35</v>
      </c>
      <c r="I246" s="269"/>
      <c r="J246" s="214">
        <v>0</v>
      </c>
      <c r="K246" s="497">
        <f t="shared" ref="K246:K248" si="113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6" t="s">
        <v>69</v>
      </c>
      <c r="I247" s="269"/>
      <c r="J247" s="214">
        <v>0</v>
      </c>
      <c r="K247" s="497">
        <f t="shared" si="113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4">I255</f>
        <v>0</v>
      </c>
      <c r="J248" s="271">
        <f t="shared" si="114"/>
        <v>0</v>
      </c>
      <c r="K248" s="272">
        <f t="shared" ca="1" si="113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51" t="s">
        <v>17</v>
      </c>
      <c r="E249" s="148"/>
      <c r="F249" s="148"/>
      <c r="G249" s="151"/>
      <c r="H249" s="274" t="s">
        <v>12</v>
      </c>
      <c r="I249" s="419"/>
      <c r="J249" s="419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IFERROR(__xludf.DUMMYFUNCTION("IMPORTRANGE(""https://docs.google.com/spreadsheets/d/1QqKyyYR6Q21VydFLVH3TRQUabQu_ym0Zz7PgGX0-kHA/edit?usp=sharing"",""แผน!AZ82"")"),0)</f>
        <v>0</v>
      </c>
      <c r="M250" s="321"/>
      <c r="N250" s="854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IFERROR(__xludf.DUMMYFUNCTION("IMPORTRANGE(""https://docs.google.com/spreadsheets/d/1QqKyyYR6Q21VydFLVH3TRQUabQu_ym0Zz7PgGX0-kHA/edit?usp=sharing"",""แผน!BA82"")"),0)</f>
        <v>0</v>
      </c>
      <c r="M251" s="321"/>
      <c r="N251" s="854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IFERROR(__xludf.DUMMYFUNCTION("IMPORTRANGE(""https://docs.google.com/spreadsheets/d/1QqKyyYR6Q21VydFLVH3TRQUabQu_ym0Zz7PgGX0-kHA/edit?usp=sharing"",""แผน!BB82"")"),0)</f>
        <v>0</v>
      </c>
      <c r="M252" s="321"/>
      <c r="N252" s="854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IFERROR(__xludf.DUMMYFUNCTION("IMPORTRANGE(""https://docs.google.com/spreadsheets/d/1QqKyyYR6Q21VydFLVH3TRQUabQu_ym0Zz7PgGX0-kHA/edit?usp=sharing"",""แผน!BC82"")"),0)</f>
        <v>0</v>
      </c>
      <c r="M253" s="321"/>
      <c r="N253" s="854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7" t="s">
        <v>38</v>
      </c>
      <c r="E254" s="173"/>
      <c r="F254" s="173"/>
      <c r="G254" s="174"/>
      <c r="H254" s="754"/>
      <c r="I254" s="184"/>
      <c r="J254" s="269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6" t="s">
        <v>35</v>
      </c>
      <c r="I255" s="269">
        <f ca="1">IFERROR(__xludf.DUMMYFUNCTION("IMPORTRANGE(""https://docs.google.com/spreadsheets/d/1QqKyyYR6Q21VydFLVH3TRQUabQu_ym0Zz7PgGX0-kHA/edit?usp=sharing"",""แผน!BF82"")"),0)</f>
        <v>0</v>
      </c>
      <c r="J255" s="214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5" t="s">
        <v>43</v>
      </c>
      <c r="E256" s="178"/>
      <c r="F256" s="178"/>
      <c r="G256" s="179"/>
      <c r="H256" s="756"/>
      <c r="I256" s="269"/>
      <c r="J256" s="269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6" t="s">
        <v>35</v>
      </c>
      <c r="I257" s="269"/>
      <c r="J257" s="214">
        <v>0</v>
      </c>
      <c r="K257" s="497">
        <f t="shared" ref="K257:K258" si="115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6" t="s">
        <v>69</v>
      </c>
      <c r="I258" s="269"/>
      <c r="J258" s="214">
        <v>0</v>
      </c>
      <c r="K258" s="497">
        <f t="shared" si="115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6">I271</f>
        <v>20</v>
      </c>
      <c r="J260" s="252">
        <f t="shared" si="116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7">L262+L263</f>
        <v>25000</v>
      </c>
      <c r="M261" s="155">
        <f t="shared" ca="1" si="117"/>
        <v>0</v>
      </c>
      <c r="N261" s="155">
        <f t="shared" ca="1" si="117"/>
        <v>0</v>
      </c>
      <c r="O261" s="155">
        <f t="shared" ref="O261:O269" ca="1" si="118">IF(L261&gt;0,N261*100/L261,0)</f>
        <v>0</v>
      </c>
      <c r="P261" s="155">
        <f t="shared" ref="P261:P269" ca="1" si="119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20">L265+L268</f>
        <v>0</v>
      </c>
      <c r="M262" s="93">
        <f t="shared" si="120"/>
        <v>0</v>
      </c>
      <c r="N262" s="93">
        <f t="shared" si="120"/>
        <v>0</v>
      </c>
      <c r="O262" s="93">
        <f t="shared" si="118"/>
        <v>0</v>
      </c>
      <c r="P262" s="93">
        <f t="shared" si="11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20"/>
        <v>25000</v>
      </c>
      <c r="M263" s="93">
        <f t="shared" ca="1" si="120"/>
        <v>0</v>
      </c>
      <c r="N263" s="93">
        <f t="shared" ca="1" si="120"/>
        <v>0</v>
      </c>
      <c r="O263" s="93">
        <f t="shared" ca="1" si="118"/>
        <v>0</v>
      </c>
      <c r="P263" s="93">
        <f t="shared" ca="1" si="119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1">L265+L266</f>
        <v>25000</v>
      </c>
      <c r="M264" s="497">
        <f t="shared" ca="1" si="121"/>
        <v>0</v>
      </c>
      <c r="N264" s="497">
        <f t="shared" ca="1" si="121"/>
        <v>0</v>
      </c>
      <c r="O264" s="497">
        <f t="shared" ca="1" si="118"/>
        <v>0</v>
      </c>
      <c r="P264" s="497">
        <f t="shared" ca="1" si="119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8"/>
        <v>0</v>
      </c>
      <c r="P265" s="93">
        <f t="shared" si="11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IFERROR(__xludf.DUMMYFUNCTION("IMPORTRANGE(""https://docs.google.com/spreadsheets/d/1MeEWN-I1oV_STSDYn1IFDPWt_1FKiwhDph83XaGc0o0/edit?usp=sharing"",""งบพรบ!DD82"")"),0)</f>
        <v>0</v>
      </c>
      <c r="N266" s="93">
        <f ca="1">IFERROR(__xludf.DUMMYFUNCTION("IMPORTRANGE(""https://docs.google.com/spreadsheets/d/1MeEWN-I1oV_STSDYn1IFDPWt_1FKiwhDph83XaGc0o0/edit?usp=sharing"",""งบพรบ!DF82"")"),0)</f>
        <v>0</v>
      </c>
      <c r="O266" s="93">
        <f t="shared" ca="1" si="118"/>
        <v>0</v>
      </c>
      <c r="P266" s="93">
        <f t="shared" ca="1" si="119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2">L268+L269</f>
        <v>0</v>
      </c>
      <c r="M267" s="497">
        <f t="shared" ca="1" si="122"/>
        <v>0</v>
      </c>
      <c r="N267" s="497">
        <f t="shared" ca="1" si="122"/>
        <v>0</v>
      </c>
      <c r="O267" s="497">
        <f t="shared" ca="1" si="118"/>
        <v>0</v>
      </c>
      <c r="P267" s="497">
        <f t="shared" ca="1" si="11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8"/>
        <v>0</v>
      </c>
      <c r="P268" s="93">
        <f t="shared" si="11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8"/>
        <v>0</v>
      </c>
      <c r="P269" s="93">
        <f t="shared" ca="1" si="11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7" t="s">
        <v>38</v>
      </c>
      <c r="E270" s="173"/>
      <c r="F270" s="173"/>
      <c r="G270" s="174"/>
      <c r="H270" s="754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IFERROR(__xludf.DUMMYFUNCTION("IMPORTRANGE(""https://docs.google.com/spreadsheets/d/1QqKyyYR6Q21VydFLVH3TRQUabQu_ym0Zz7PgGX0-kHA/edit?usp=sharing"",""แผน!EA82"")"),20)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500">
        <v>0</v>
      </c>
      <c r="J272" s="500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3">I288</f>
        <v>0</v>
      </c>
      <c r="J275" s="405">
        <f t="shared" ca="1" si="123"/>
        <v>0</v>
      </c>
      <c r="K275" s="406">
        <f t="shared" ref="K275:K276" ca="1" si="124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9">
        <f t="shared" ref="I276:J276" ca="1" si="125">I287</f>
        <v>0</v>
      </c>
      <c r="J276" s="409">
        <f t="shared" si="125"/>
        <v>0</v>
      </c>
      <c r="K276" s="407">
        <f t="shared" ca="1" si="124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6">L278+L279</f>
        <v>0</v>
      </c>
      <c r="M277" s="155">
        <f t="shared" ca="1" si="126"/>
        <v>0</v>
      </c>
      <c r="N277" s="155">
        <f t="shared" ca="1" si="126"/>
        <v>0</v>
      </c>
      <c r="O277" s="155">
        <f t="shared" ref="O277:O285" ca="1" si="127">IF(L277&gt;0,N277*100/L277,0)</f>
        <v>0</v>
      </c>
      <c r="P277" s="155">
        <f t="shared" ref="P277:P285" ca="1" si="12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9">L281+L284</f>
        <v>0</v>
      </c>
      <c r="M278" s="93">
        <f t="shared" si="129"/>
        <v>0</v>
      </c>
      <c r="N278" s="93">
        <f t="shared" si="129"/>
        <v>0</v>
      </c>
      <c r="O278" s="93">
        <f t="shared" si="127"/>
        <v>0</v>
      </c>
      <c r="P278" s="93">
        <f t="shared" si="12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9"/>
        <v>0</v>
      </c>
      <c r="M279" s="93">
        <f t="shared" ca="1" si="129"/>
        <v>0</v>
      </c>
      <c r="N279" s="93">
        <f t="shared" ca="1" si="129"/>
        <v>0</v>
      </c>
      <c r="O279" s="93">
        <f t="shared" ca="1" si="127"/>
        <v>0</v>
      </c>
      <c r="P279" s="93">
        <f t="shared" ca="1" si="12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30">L281+L282</f>
        <v>0</v>
      </c>
      <c r="M280" s="497">
        <f t="shared" ca="1" si="130"/>
        <v>0</v>
      </c>
      <c r="N280" s="497">
        <f t="shared" ca="1" si="130"/>
        <v>0</v>
      </c>
      <c r="O280" s="497">
        <f t="shared" ca="1" si="127"/>
        <v>0</v>
      </c>
      <c r="P280" s="497">
        <f t="shared" ca="1" si="12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7"/>
        <v>0</v>
      </c>
      <c r="P281" s="93">
        <f t="shared" si="12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7"/>
        <v>0</v>
      </c>
      <c r="P282" s="93">
        <f t="shared" ca="1" si="12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1">L284+L285</f>
        <v>0</v>
      </c>
      <c r="M283" s="497">
        <f t="shared" ca="1" si="131"/>
        <v>0</v>
      </c>
      <c r="N283" s="497">
        <f t="shared" ca="1" si="131"/>
        <v>0</v>
      </c>
      <c r="O283" s="497">
        <f t="shared" ca="1" si="127"/>
        <v>0</v>
      </c>
      <c r="P283" s="497">
        <f t="shared" ca="1" si="12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7"/>
        <v>0</v>
      </c>
      <c r="P284" s="93">
        <f t="shared" si="12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7"/>
        <v>0</v>
      </c>
      <c r="P285" s="93">
        <f t="shared" ca="1" si="12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4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IFERROR(__xludf.DUMMYFUNCTION("IMPORTRANGE(""https://docs.google.com/spreadsheets/d/1QqKyyYR6Q21VydFLVH3TRQUabQu_ym0Zz7PgGX0-kHA/edit?usp=sharing"",""แผน!EC82"")"),0)</f>
        <v>0</v>
      </c>
      <c r="J287" s="269">
        <v>0</v>
      </c>
      <c r="K287" s="163">
        <f t="shared" ref="K287:K288" ca="1" si="132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IFERROR(__xludf.DUMMYFUNCTION("IMPORTRANGE(""https://docs.google.com/spreadsheets/d/1QqKyyYR6Q21VydFLVH3TRQUabQu_ym0Zz7PgGX0-kHA/edit?usp=sharing"",""แผน!EB82"")"),0)</f>
        <v>0</v>
      </c>
      <c r="J288" s="675">
        <f ca="1">IF(AND(J291&gt;=I288,J294&gt;=I288),J294,0)</f>
        <v>0</v>
      </c>
      <c r="K288" s="411">
        <f t="shared" ca="1" si="132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6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6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4">
        <v>0</v>
      </c>
      <c r="K290" s="163">
        <f t="shared" ref="K290:K291" ca="1" si="133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336</v>
      </c>
      <c r="F291" s="178"/>
      <c r="G291" s="179"/>
      <c r="H291" s="756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4">
        <v>0</v>
      </c>
      <c r="K291" s="163">
        <f t="shared" ca="1" si="133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6"/>
      <c r="G292" s="287"/>
      <c r="H292" s="418"/>
      <c r="I292" s="419"/>
      <c r="J292" s="420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6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4">
        <v>0</v>
      </c>
      <c r="K293" s="163">
        <f t="shared" ref="K293:K294" ca="1" si="134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6" t="s">
        <v>336</v>
      </c>
      <c r="F294" s="380"/>
      <c r="G294" s="381"/>
      <c r="H294" s="422" t="s">
        <v>35</v>
      </c>
      <c r="I294" s="423">
        <f ca="1">IFERROR(__xludf.DUMMYFUNCTION("IMPORTRANGE(""https://docs.google.com/spreadsheets/d/1QqKyyYR6Q21VydFLVH3TRQUabQu_ym0Zz7PgGX0-kHA/edit?usp=sharing"",""แผน!EB82"")"),0)</f>
        <v>0</v>
      </c>
      <c r="J294" s="424">
        <v>0</v>
      </c>
      <c r="K294" s="384">
        <f t="shared" ca="1" si="134"/>
        <v>0</v>
      </c>
      <c r="L294" s="384"/>
      <c r="M294" s="384"/>
      <c r="N294" s="384"/>
      <c r="O294" s="384"/>
      <c r="P294" s="384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5">I309</f>
        <v>20</v>
      </c>
      <c r="J297" s="444">
        <f t="shared" si="135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6">L299+L300</f>
        <v>82400</v>
      </c>
      <c r="M298" s="155">
        <f t="shared" ca="1" si="136"/>
        <v>49120</v>
      </c>
      <c r="N298" s="155">
        <f t="shared" ca="1" si="136"/>
        <v>0</v>
      </c>
      <c r="O298" s="155">
        <f t="shared" ref="O298:O306" ca="1" si="137">IF(L298&gt;0,N298*100/L298,0)</f>
        <v>0</v>
      </c>
      <c r="P298" s="155">
        <f t="shared" ref="P298:P306" ca="1" si="138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9">L302+L305</f>
        <v>0</v>
      </c>
      <c r="M299" s="93">
        <f t="shared" si="139"/>
        <v>0</v>
      </c>
      <c r="N299" s="93">
        <f t="shared" si="139"/>
        <v>0</v>
      </c>
      <c r="O299" s="93">
        <f t="shared" si="137"/>
        <v>0</v>
      </c>
      <c r="P299" s="93">
        <f t="shared" si="138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9"/>
        <v>82400</v>
      </c>
      <c r="M300" s="93">
        <f t="shared" ca="1" si="139"/>
        <v>49120</v>
      </c>
      <c r="N300" s="93">
        <f t="shared" ca="1" si="139"/>
        <v>0</v>
      </c>
      <c r="O300" s="93">
        <f t="shared" ca="1" si="137"/>
        <v>0</v>
      </c>
      <c r="P300" s="93">
        <f t="shared" ca="1" si="138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40">L302+L303</f>
        <v>82400</v>
      </c>
      <c r="M301" s="497">
        <f t="shared" ca="1" si="140"/>
        <v>49120</v>
      </c>
      <c r="N301" s="497">
        <f t="shared" ca="1" si="140"/>
        <v>0</v>
      </c>
      <c r="O301" s="497">
        <f t="shared" ca="1" si="137"/>
        <v>0</v>
      </c>
      <c r="P301" s="497">
        <f t="shared" ca="1" si="138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7"/>
        <v>0</v>
      </c>
      <c r="P302" s="93">
        <f t="shared" si="138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IFERROR(__xludf.DUMMYFUNCTION("IMPORTRANGE(""https://docs.google.com/spreadsheets/d/1MeEWN-I1oV_STSDYn1IFDPWt_1FKiwhDph83XaGc0o0/edit?usp=sharing"",""งบพรบ!DX82"")"),49120)</f>
        <v>49120</v>
      </c>
      <c r="N303" s="93">
        <f ca="1">IFERROR(__xludf.DUMMYFUNCTION("IMPORTRANGE(""https://docs.google.com/spreadsheets/d/1MeEWN-I1oV_STSDYn1IFDPWt_1FKiwhDph83XaGc0o0/edit?usp=sharing"",""งบพรบ!DZ82"")"),0)</f>
        <v>0</v>
      </c>
      <c r="O303" s="93">
        <f t="shared" ca="1" si="137"/>
        <v>0</v>
      </c>
      <c r="P303" s="93">
        <f t="shared" ca="1" si="138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1">L305+L306</f>
        <v>0</v>
      </c>
      <c r="M304" s="497">
        <f t="shared" ca="1" si="141"/>
        <v>0</v>
      </c>
      <c r="N304" s="497">
        <f t="shared" ca="1" si="141"/>
        <v>0</v>
      </c>
      <c r="O304" s="497">
        <f t="shared" ca="1" si="137"/>
        <v>0</v>
      </c>
      <c r="P304" s="497">
        <f t="shared" ca="1" si="138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7"/>
        <v>0</v>
      </c>
      <c r="P305" s="93">
        <f t="shared" si="138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7"/>
        <v>0</v>
      </c>
      <c r="P306" s="93">
        <f t="shared" ca="1" si="138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4"/>
      <c r="I307" s="269"/>
      <c r="J307" s="269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6"/>
      <c r="I308" s="269"/>
      <c r="J308" s="214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6" t="s">
        <v>35</v>
      </c>
      <c r="I309" s="269">
        <f ca="1">IFERROR(__xludf.DUMMYFUNCTION("IMPORTRANGE(""https://docs.google.com/spreadsheets/d/1QqKyyYR6Q21VydFLVH3TRQUabQu_ym0Zz7PgGX0-kHA/edit?usp=sharing"",""แผน!ED82"")"),20)</f>
        <v>20</v>
      </c>
      <c r="J309" s="214">
        <v>0</v>
      </c>
      <c r="K309" s="497">
        <f t="shared" ref="K309:K312" ca="1" si="142">IF(I309&gt;0,J309*100/I309,0)</f>
        <v>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6" t="s">
        <v>35</v>
      </c>
      <c r="I310" s="269">
        <f ca="1">IFERROR(__xludf.DUMMYFUNCTION("IMPORTRANGE(""https://docs.google.com/spreadsheets/d/1QqKyyYR6Q21VydFLVH3TRQUabQu_ym0Zz7PgGX0-kHA/edit?usp=sharing"",""แผน!ED82"")"),20)</f>
        <v>20</v>
      </c>
      <c r="J310" s="214">
        <v>0</v>
      </c>
      <c r="K310" s="497">
        <f t="shared" ca="1" si="142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6" t="s">
        <v>35</v>
      </c>
      <c r="I311" s="269">
        <f ca="1">IFERROR(__xludf.DUMMYFUNCTION("IMPORTRANGE(""https://docs.google.com/spreadsheets/d/1QqKyyYR6Q21VydFLVH3TRQUabQu_ym0Zz7PgGX0-kHA/edit?usp=sharing"",""แผน!ED82"")"),20)</f>
        <v>20</v>
      </c>
      <c r="J311" s="214">
        <v>0</v>
      </c>
      <c r="K311" s="497">
        <f t="shared" ca="1" si="142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6" t="s">
        <v>35</v>
      </c>
      <c r="I312" s="269">
        <f ca="1">IFERROR(__xludf.DUMMYFUNCTION("IMPORTRANGE(""https://docs.google.com/spreadsheets/d/1QqKyyYR6Q21VydFLVH3TRQUabQu_ym0Zz7PgGX0-kHA/edit?usp=sharing"",""แผน!EE82"")"),4)</f>
        <v>4</v>
      </c>
      <c r="J312" s="214">
        <v>0</v>
      </c>
      <c r="K312" s="497">
        <f t="shared" ca="1" si="142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3">I325</f>
        <v>0</v>
      </c>
      <c r="J314" s="444">
        <f t="shared" si="143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4">L316+L317</f>
        <v>0</v>
      </c>
      <c r="M315" s="155">
        <f t="shared" ca="1" si="144"/>
        <v>0</v>
      </c>
      <c r="N315" s="155">
        <f t="shared" ca="1" si="144"/>
        <v>0</v>
      </c>
      <c r="O315" s="155">
        <f t="shared" ref="O315:O323" ca="1" si="145">IF(L315&gt;0,N315*100/L315,0)</f>
        <v>0</v>
      </c>
      <c r="P315" s="155">
        <f t="shared" ref="P315:P323" ca="1" si="146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7">L319+L322</f>
        <v>0</v>
      </c>
      <c r="M316" s="93">
        <f t="shared" si="147"/>
        <v>0</v>
      </c>
      <c r="N316" s="93">
        <f t="shared" si="147"/>
        <v>0</v>
      </c>
      <c r="O316" s="93">
        <f t="shared" si="145"/>
        <v>0</v>
      </c>
      <c r="P316" s="93">
        <f t="shared" si="146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7"/>
        <v>0</v>
      </c>
      <c r="M317" s="93">
        <f t="shared" ca="1" si="147"/>
        <v>0</v>
      </c>
      <c r="N317" s="93">
        <f t="shared" ca="1" si="147"/>
        <v>0</v>
      </c>
      <c r="O317" s="93">
        <f t="shared" ca="1" si="145"/>
        <v>0</v>
      </c>
      <c r="P317" s="93">
        <f t="shared" ca="1" si="146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8">L319+L320</f>
        <v>0</v>
      </c>
      <c r="M318" s="497">
        <f t="shared" ca="1" si="148"/>
        <v>0</v>
      </c>
      <c r="N318" s="497">
        <f t="shared" ca="1" si="148"/>
        <v>0</v>
      </c>
      <c r="O318" s="497">
        <f t="shared" ca="1" si="145"/>
        <v>0</v>
      </c>
      <c r="P318" s="497">
        <f t="shared" ca="1" si="146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5"/>
        <v>0</v>
      </c>
      <c r="P319" s="93">
        <f t="shared" si="146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5"/>
        <v>0</v>
      </c>
      <c r="P320" s="93">
        <f t="shared" ca="1" si="146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9">L322+L323</f>
        <v>0</v>
      </c>
      <c r="M321" s="497">
        <f t="shared" ca="1" si="149"/>
        <v>0</v>
      </c>
      <c r="N321" s="497">
        <f t="shared" ca="1" si="149"/>
        <v>0</v>
      </c>
      <c r="O321" s="497">
        <f t="shared" ca="1" si="145"/>
        <v>0</v>
      </c>
      <c r="P321" s="497">
        <f t="shared" ca="1" si="146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5"/>
        <v>0</v>
      </c>
      <c r="P322" s="93">
        <f t="shared" si="146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5"/>
        <v>0</v>
      </c>
      <c r="P323" s="93">
        <f t="shared" ca="1" si="146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4"/>
      <c r="I324" s="184"/>
      <c r="J324" s="269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69">
        <f ca="1">IFERROR(__xludf.DUMMYFUNCTION("IMPORTRANGE(""https://docs.google.com/spreadsheets/d/1QqKyyYR6Q21VydFLVH3TRQUabQu_ym0Zz7PgGX0-kHA/edit?usp=sharing"",""แผน!EF82"")"),0)</f>
        <v>0</v>
      </c>
      <c r="J325" s="214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IFERROR(__xludf.DUMMYFUNCTION("IMPORTRANGE(""https://docs.google.com/spreadsheets/d/1QqKyyYR6Q21VydFLVH3TRQUabQu_ym0Zz7PgGX0-kHA/edit?usp=sharing"",""แผน!EG82"")"),1200)</f>
        <v>1200</v>
      </c>
      <c r="J327" s="444">
        <f ca="1">J338+J341+J342+J343</f>
        <v>449</v>
      </c>
      <c r="K327" s="445">
        <f ca="1">IF(I327&gt;0,J327*100/I327,0)</f>
        <v>37.416666666666664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50">L329+L330</f>
        <v>162000</v>
      </c>
      <c r="M328" s="155">
        <f t="shared" ca="1" si="150"/>
        <v>81000</v>
      </c>
      <c r="N328" s="155">
        <f t="shared" ca="1" si="150"/>
        <v>32604</v>
      </c>
      <c r="O328" s="155">
        <f t="shared" ref="O328:O336" ca="1" si="151">IF(L328&gt;0,N328*100/L328,0)</f>
        <v>20.125925925925927</v>
      </c>
      <c r="P328" s="155">
        <f t="shared" ref="P328:P336" ca="1" si="152">IF(M328&gt;0,N328*100/M328,0)</f>
        <v>40.251851851851853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3">L332+L335</f>
        <v>0</v>
      </c>
      <c r="M329" s="93">
        <f t="shared" si="153"/>
        <v>0</v>
      </c>
      <c r="N329" s="93">
        <f t="shared" si="153"/>
        <v>0</v>
      </c>
      <c r="O329" s="93">
        <f t="shared" si="151"/>
        <v>0</v>
      </c>
      <c r="P329" s="93">
        <f t="shared" si="152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3"/>
        <v>162000</v>
      </c>
      <c r="M330" s="93">
        <f t="shared" ca="1" si="153"/>
        <v>81000</v>
      </c>
      <c r="N330" s="93">
        <f t="shared" ca="1" si="153"/>
        <v>32604</v>
      </c>
      <c r="O330" s="93">
        <f t="shared" ca="1" si="151"/>
        <v>20.125925925925927</v>
      </c>
      <c r="P330" s="93">
        <f t="shared" ca="1" si="152"/>
        <v>40.251851851851853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4">L332+L333</f>
        <v>162000</v>
      </c>
      <c r="M331" s="497">
        <f t="shared" ca="1" si="154"/>
        <v>81000</v>
      </c>
      <c r="N331" s="497">
        <f t="shared" ca="1" si="154"/>
        <v>32604</v>
      </c>
      <c r="O331" s="497">
        <f t="shared" ca="1" si="151"/>
        <v>20.125925925925927</v>
      </c>
      <c r="P331" s="497">
        <f t="shared" ca="1" si="152"/>
        <v>40.251851851851853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1"/>
        <v>0</v>
      </c>
      <c r="P332" s="93">
        <f t="shared" si="152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IFERROR(__xludf.DUMMYFUNCTION("IMPORTRANGE(""https://docs.google.com/spreadsheets/d/1MeEWN-I1oV_STSDYn1IFDPWt_1FKiwhDph83XaGc0o0/edit?usp=sharing"",""งบพรบ!ER82"")"),81000)</f>
        <v>81000</v>
      </c>
      <c r="N333" s="93">
        <f ca="1">IFERROR(__xludf.DUMMYFUNCTION("IMPORTRANGE(""https://docs.google.com/spreadsheets/d/1MeEWN-I1oV_STSDYn1IFDPWt_1FKiwhDph83XaGc0o0/edit?usp=sharing"",""งบพรบ!ET82"")"),32604)</f>
        <v>32604</v>
      </c>
      <c r="O333" s="93">
        <f t="shared" ca="1" si="151"/>
        <v>20.125925925925927</v>
      </c>
      <c r="P333" s="93">
        <f t="shared" ca="1" si="152"/>
        <v>40.251851851851853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5">L335+L336</f>
        <v>0</v>
      </c>
      <c r="M334" s="497">
        <f t="shared" ca="1" si="155"/>
        <v>0</v>
      </c>
      <c r="N334" s="497">
        <f t="shared" ca="1" si="155"/>
        <v>0</v>
      </c>
      <c r="O334" s="497">
        <f t="shared" ca="1" si="151"/>
        <v>0</v>
      </c>
      <c r="P334" s="497">
        <f t="shared" ca="1" si="152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1"/>
        <v>0</v>
      </c>
      <c r="P335" s="93">
        <f t="shared" si="152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1"/>
        <v>0</v>
      </c>
      <c r="P336" s="93">
        <f t="shared" ca="1" si="152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4"/>
      <c r="I337" s="184"/>
      <c r="J337" s="269"/>
      <c r="K337" s="497"/>
      <c r="L337" s="497"/>
      <c r="M337" s="497"/>
      <c r="N337" s="497"/>
      <c r="O337" s="163"/>
      <c r="P337" s="163"/>
    </row>
    <row r="338" spans="1:26" ht="18.75">
      <c r="A338" s="283"/>
      <c r="B338" s="33"/>
      <c r="C338" s="280"/>
      <c r="D338" s="447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IFERROR(__xludf.DUMMYFUNCTION("IMPORTRANGE(""https://docs.google.com/spreadsheets/d/1QqKyyYR6Q21VydFLVH3TRQUabQu_ym0Zz7PgGX0-kHA/edit?usp=sharing"",""แผน!EG82"")"),1200)</f>
        <v>1200</v>
      </c>
      <c r="J338" s="269">
        <f ca="1">IFERROR(__xludf.DUMMYFUNCTION("IMPORTRANGE(""https://docs.google.com/spreadsheets/d/1kVcqe37tkHyjCSG3S0O1AXqVkqjo8mSIZil3BcpIysc/edit?usp=sharing"",""ศูนย์!D82"")"),449)</f>
        <v>449</v>
      </c>
      <c r="K338" s="497">
        <f ca="1">IF(I338&gt;0,J338*100/I338,0)</f>
        <v>37.416666666666664</v>
      </c>
      <c r="L338" s="497"/>
      <c r="M338" s="497"/>
      <c r="N338" s="497"/>
      <c r="O338" s="497"/>
      <c r="P338" s="497"/>
    </row>
    <row r="339" spans="1:26" ht="18.75">
      <c r="A339" s="283"/>
      <c r="B339" s="33"/>
      <c r="C339" s="280"/>
      <c r="D339" s="447" t="s">
        <v>151</v>
      </c>
      <c r="E339" s="171"/>
      <c r="F339" s="33"/>
      <c r="G339" s="35"/>
      <c r="H339" s="276"/>
      <c r="I339" s="269"/>
      <c r="J339" s="269"/>
      <c r="K339" s="497"/>
      <c r="L339" s="497"/>
      <c r="M339" s="497"/>
      <c r="N339" s="497"/>
      <c r="O339" s="497"/>
      <c r="P339" s="497"/>
    </row>
    <row r="340" spans="1:26" ht="18.75">
      <c r="A340" s="283"/>
      <c r="B340" s="33"/>
      <c r="C340" s="280"/>
      <c r="D340" s="178"/>
      <c r="E340" s="447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IFERROR(__xludf.DUMMYFUNCTION("IMPORTRANGE(""https://docs.google.com/spreadsheets/d/1QqKyyYR6Q21VydFLVH3TRQUabQu_ym0Zz7PgGX0-kHA/edit?usp=sharing"",""แผน!EH82"")"),2)</f>
        <v>2</v>
      </c>
      <c r="J340" s="269">
        <f ca="1">IFERROR(__xludf.DUMMYFUNCTION("IMPORTRANGE(""https://docs.google.com/spreadsheets/d/1kVcqe37tkHyjCSG3S0O1AXqVkqjo8mSIZil3BcpIysc/edit?usp=sharing"",""ศูนย์!E82"")"),0)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3"/>
      <c r="B341" s="33"/>
      <c r="C341" s="280"/>
      <c r="D341" s="178"/>
      <c r="E341" s="447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IFERROR(__xludf.DUMMYFUNCTION("IMPORTRANGE(""https://docs.google.com/spreadsheets/d/1kVcqe37tkHyjCSG3S0O1AXqVkqjo8mSIZil3BcpIysc/edit?usp=sharing"",""ศูนย์!F82"")"),0)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3"/>
      <c r="B342" s="33"/>
      <c r="C342" s="280"/>
      <c r="D342" s="447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IFERROR(__xludf.DUMMYFUNCTION("IMPORTRANGE(""https://docs.google.com/spreadsheets/d/1kVcqe37tkHyjCSG3S0O1AXqVkqjo8mSIZil3BcpIysc/edit?usp=sharing"",""ศูนย์!G82"")"),0)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3"/>
      <c r="B343" s="33"/>
      <c r="C343" s="280"/>
      <c r="D343" s="447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IFERROR(__xludf.DUMMYFUNCTION("IMPORTRANGE(""https://docs.google.com/spreadsheets/d/1kVcqe37tkHyjCSG3S0O1AXqVkqjo8mSIZil3BcpIysc/edit?usp=sharing"",""ศูนย์!H82"")"),0)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6">L346+L347</f>
        <v>444870</v>
      </c>
      <c r="M345" s="155">
        <f t="shared" ca="1" si="156"/>
        <v>244940</v>
      </c>
      <c r="N345" s="155">
        <f t="shared" ca="1" si="156"/>
        <v>91957.84</v>
      </c>
      <c r="O345" s="155">
        <f t="shared" ref="O345:O353" ca="1" si="157">IF(L345&gt;0,N345*100/L345,0)</f>
        <v>20.670721783891924</v>
      </c>
      <c r="P345" s="155">
        <f t="shared" ref="P345:P353" ca="1" si="158">IF(M345&gt;0,N345*100/M345,0)</f>
        <v>37.543006450559318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9">L349+L352</f>
        <v>0</v>
      </c>
      <c r="M346" s="93">
        <f t="shared" si="159"/>
        <v>0</v>
      </c>
      <c r="N346" s="93">
        <f t="shared" si="159"/>
        <v>0</v>
      </c>
      <c r="O346" s="93">
        <f t="shared" si="157"/>
        <v>0</v>
      </c>
      <c r="P346" s="93">
        <f t="shared" si="158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9"/>
        <v>444870</v>
      </c>
      <c r="M347" s="93">
        <f t="shared" ca="1" si="159"/>
        <v>244940</v>
      </c>
      <c r="N347" s="93">
        <f t="shared" ca="1" si="159"/>
        <v>91957.84</v>
      </c>
      <c r="O347" s="93">
        <f t="shared" ca="1" si="157"/>
        <v>20.670721783891924</v>
      </c>
      <c r="P347" s="93">
        <f t="shared" ca="1" si="158"/>
        <v>37.543006450559318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60">L349+L350</f>
        <v>399870</v>
      </c>
      <c r="M348" s="497">
        <f t="shared" ca="1" si="160"/>
        <v>199940</v>
      </c>
      <c r="N348" s="497">
        <f t="shared" ca="1" si="160"/>
        <v>46957.84</v>
      </c>
      <c r="O348" s="497">
        <f t="shared" ca="1" si="157"/>
        <v>11.743276564883587</v>
      </c>
      <c r="P348" s="497">
        <f t="shared" ca="1" si="158"/>
        <v>23.48596578973692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7"/>
        <v>0</v>
      </c>
      <c r="P349" s="93">
        <f t="shared" si="158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IFERROR(__xludf.DUMMYFUNCTION("IMPORTRANGE(""https://docs.google.com/spreadsheets/d/1MeEWN-I1oV_STSDYn1IFDPWt_1FKiwhDph83XaGc0o0/edit?usp=sharing"",""งบพรบ!FB82"")"),199940)</f>
        <v>199940</v>
      </c>
      <c r="N350" s="93">
        <f ca="1">IFERROR(__xludf.DUMMYFUNCTION("IMPORTRANGE(""https://docs.google.com/spreadsheets/d/1MeEWN-I1oV_STSDYn1IFDPWt_1FKiwhDph83XaGc0o0/edit?usp=sharing"",""งบพรบ!FD82"")"),46957.84)</f>
        <v>46957.84</v>
      </c>
      <c r="O350" s="93">
        <f t="shared" ca="1" si="157"/>
        <v>11.743276564883587</v>
      </c>
      <c r="P350" s="93">
        <f t="shared" ca="1" si="158"/>
        <v>23.48596578973692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1">L352+L353</f>
        <v>45000</v>
      </c>
      <c r="M351" s="497">
        <f t="shared" ca="1" si="161"/>
        <v>45000</v>
      </c>
      <c r="N351" s="497">
        <f t="shared" ca="1" si="161"/>
        <v>45000</v>
      </c>
      <c r="O351" s="497">
        <f t="shared" ca="1" si="157"/>
        <v>100</v>
      </c>
      <c r="P351" s="497">
        <f t="shared" ca="1" si="158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7"/>
        <v>0</v>
      </c>
      <c r="P352" s="93">
        <f t="shared" si="158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7"/>
        <v>100</v>
      </c>
      <c r="P353" s="93">
        <f t="shared" ca="1" si="158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6" t="s">
        <v>158</v>
      </c>
      <c r="E354" s="256"/>
      <c r="F354" s="256"/>
      <c r="G354" s="258"/>
      <c r="H354" s="455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IFERROR(__xludf.DUMMYFUNCTION("IMPORTRANGE(""https://docs.google.com/spreadsheets/d/1QqKyyYR6Q21VydFLVH3TRQUabQu_ym0Zz7PgGX0-kHA/edit?usp=sharing"",""แผน!EP82"")"),127)</f>
        <v>127</v>
      </c>
      <c r="J355" s="464">
        <f ca="1">J362</f>
        <v>2</v>
      </c>
      <c r="K355" s="465">
        <f ca="1">IF(I355&gt;0,J355*100/I355,0)</f>
        <v>1.5748031496062993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4"/>
      <c r="I357" s="269"/>
      <c r="J357" s="269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IFERROR(__xludf.DUMMYFUNCTION("IMPORTRANGE(""https://docs.google.com/spreadsheets/d/1XWAQStnk-4SwqDmLtmXYiTMKHgktTP8We1SCoS47DrQ/edit?usp=sharing"",""จัดที่ดิน!W82"")"),2)</f>
        <v>2</v>
      </c>
      <c r="K358" s="497">
        <f t="shared" ref="K358:K365" si="162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IFERROR(__xludf.DUMMYFUNCTION("IMPORTRANGE(""https://docs.google.com/spreadsheets/d/1QqKyyYR6Q21VydFLVH3TRQUabQu_ym0Zz7PgGX0-kHA/edit?usp=sharing"",""แผน!EO82"")"),970)</f>
        <v>970</v>
      </c>
      <c r="J359" s="269">
        <f ca="1">IFERROR(__xludf.DUMMYFUNCTION("IMPORTRANGE(""https://docs.google.com/spreadsheets/d/1XWAQStnk-4SwqDmLtmXYiTMKHgktTP8We1SCoS47DrQ/edit?usp=sharing"",""จัดที่ดิน!X82"")"),4.2)</f>
        <v>4.2</v>
      </c>
      <c r="K359" s="497">
        <f t="shared" ca="1" si="162"/>
        <v>0.4329896907216495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6" t="s">
        <v>35</v>
      </c>
      <c r="I360" s="269">
        <f ca="1">IFERROR(__xludf.DUMMYFUNCTION("IMPORTRANGE(""https://docs.google.com/spreadsheets/d/1QqKyyYR6Q21VydFLVH3TRQUabQu_ym0Zz7PgGX0-kHA/edit?usp=sharing"",""แผน!EP82"")"),127)</f>
        <v>127</v>
      </c>
      <c r="J360" s="269">
        <f ca="1">IFERROR(__xludf.DUMMYFUNCTION("IMPORTRANGE(""https://docs.google.com/spreadsheets/d/1XWAQStnk-4SwqDmLtmXYiTMKHgktTP8We1SCoS47DrQ/edit?usp=sharing"",""จัดที่ดิน!Y82"")"),2)</f>
        <v>2</v>
      </c>
      <c r="K360" s="497">
        <f t="shared" ca="1" si="162"/>
        <v>1.5748031496062993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6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IFERROR(__xludf.DUMMYFUNCTION("IMPORTRANGE(""https://docs.google.com/spreadsheets/d/1XWAQStnk-4SwqDmLtmXYiTMKHgktTP8We1SCoS47DrQ/edit?usp=sharing"",""จัดที่ดิน!Z82"")"),4.2)</f>
        <v>4.2</v>
      </c>
      <c r="K361" s="497">
        <f t="shared" si="162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6" t="s">
        <v>35</v>
      </c>
      <c r="I362" s="269">
        <f ca="1">IFERROR(__xludf.DUMMYFUNCTION("IMPORTRANGE(""https://docs.google.com/spreadsheets/d/1QqKyyYR6Q21VydFLVH3TRQUabQu_ym0Zz7PgGX0-kHA/edit?usp=sharing"",""แผน!EP82"")"),127)</f>
        <v>127</v>
      </c>
      <c r="J362" s="269">
        <f ca="1">IFERROR(__xludf.DUMMYFUNCTION("IMPORTRANGE(""https://docs.google.com/spreadsheets/d/1XWAQStnk-4SwqDmLtmXYiTMKHgktTP8We1SCoS47DrQ/edit?usp=sharing"",""จัดที่ดิน!AA82"")"),2)</f>
        <v>2</v>
      </c>
      <c r="K362" s="497">
        <f t="shared" ca="1" si="162"/>
        <v>1.5748031496062993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6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IFERROR(__xludf.DUMMYFUNCTION("IMPORTRANGE(""https://docs.google.com/spreadsheets/d/1XWAQStnk-4SwqDmLtmXYiTMKHgktTP8We1SCoS47DrQ/edit?usp=sharing"",""จัดที่ดิน!AB82"")"),4.2)</f>
        <v>4.2</v>
      </c>
      <c r="K363" s="497">
        <f t="shared" si="162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3">I365+I374</f>
        <v>267</v>
      </c>
      <c r="J364" s="478">
        <f t="shared" ca="1" si="163"/>
        <v>46</v>
      </c>
      <c r="K364" s="479">
        <f t="shared" ca="1" si="162"/>
        <v>17.228464419475657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IFERROR(__xludf.DUMMYFUNCTION("IMPORTRANGE(""https://docs.google.com/spreadsheets/d/1QqKyyYR6Q21VydFLVH3TRQUabQu_ym0Zz7PgGX0-kHA/edit?usp=sharing"",""แผน!EJ82"")"),67)</f>
        <v>67</v>
      </c>
      <c r="J365" s="490">
        <f ca="1">J372</f>
        <v>0</v>
      </c>
      <c r="K365" s="491">
        <f t="shared" ca="1" si="162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4"/>
      <c r="I367" s="269"/>
      <c r="J367" s="269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IFERROR(__xludf.DUMMYFUNCTION("IMPORTRANGE(""https://docs.google.com/spreadsheets/d/1XWAQStnk-4SwqDmLtmXYiTMKHgktTP8We1SCoS47DrQ/edit?usp=sharing"",""จัดที่ดิน!E82"")"),0)</f>
        <v>0</v>
      </c>
      <c r="K368" s="497">
        <f t="shared" ref="K368:K374" si="164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IFERROR(__xludf.DUMMYFUNCTION("IMPORTRANGE(""https://docs.google.com/spreadsheets/d/1QqKyyYR6Q21VydFLVH3TRQUabQu_ym0Zz7PgGX0-kHA/edit?usp=sharing"",""แผน!EI82"")"),670)</f>
        <v>670</v>
      </c>
      <c r="J369" s="269">
        <f ca="1">IFERROR(__xludf.DUMMYFUNCTION("IMPORTRANGE(""https://docs.google.com/spreadsheets/d/1XWAQStnk-4SwqDmLtmXYiTMKHgktTP8We1SCoS47DrQ/edit?usp=sharing"",""จัดที่ดิน!F82"")"),0)</f>
        <v>0</v>
      </c>
      <c r="K369" s="497">
        <f t="shared" ca="1" si="164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6" t="s">
        <v>35</v>
      </c>
      <c r="I370" s="269">
        <f ca="1">IFERROR(__xludf.DUMMYFUNCTION("IMPORTRANGE(""https://docs.google.com/spreadsheets/d/1QqKyyYR6Q21VydFLVH3TRQUabQu_ym0Zz7PgGX0-kHA/edit?usp=sharing"",""แผน!EJ82"")"),67)</f>
        <v>67</v>
      </c>
      <c r="J370" s="269">
        <f ca="1">IFERROR(__xludf.DUMMYFUNCTION("IMPORTRANGE(""https://docs.google.com/spreadsheets/d/1XWAQStnk-4SwqDmLtmXYiTMKHgktTP8We1SCoS47DrQ/edit?usp=sharing"",""จัดที่ดิน!G82"")"),0)</f>
        <v>0</v>
      </c>
      <c r="K370" s="497">
        <f t="shared" ca="1" si="164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6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IFERROR(__xludf.DUMMYFUNCTION("IMPORTRANGE(""https://docs.google.com/spreadsheets/d/1XWAQStnk-4SwqDmLtmXYiTMKHgktTP8We1SCoS47DrQ/edit?usp=sharing"",""จัดที่ดิน!H82"")"),0)</f>
        <v>0</v>
      </c>
      <c r="K371" s="497">
        <f t="shared" si="164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6" t="s">
        <v>35</v>
      </c>
      <c r="I372" s="269">
        <f ca="1">IFERROR(__xludf.DUMMYFUNCTION("IMPORTRANGE(""https://docs.google.com/spreadsheets/d/1QqKyyYR6Q21VydFLVH3TRQUabQu_ym0Zz7PgGX0-kHA/edit?usp=sharing"",""แผน!EJ82"")"),67)</f>
        <v>67</v>
      </c>
      <c r="J372" s="269">
        <f ca="1">IFERROR(__xludf.DUMMYFUNCTION("IMPORTRANGE(""https://docs.google.com/spreadsheets/d/1XWAQStnk-4SwqDmLtmXYiTMKHgktTP8We1SCoS47DrQ/edit?usp=sharing"",""จัดที่ดิน!I82"")"),0)</f>
        <v>0</v>
      </c>
      <c r="K372" s="497">
        <f t="shared" ca="1" si="164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6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IFERROR(__xludf.DUMMYFUNCTION("IMPORTRANGE(""https://docs.google.com/spreadsheets/d/1XWAQStnk-4SwqDmLtmXYiTMKHgktTP8We1SCoS47DrQ/edit?usp=sharing"",""จัดที่ดิน!J82"")"),0)</f>
        <v>0</v>
      </c>
      <c r="K373" s="497">
        <f t="shared" si="164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IFERROR(__xludf.DUMMYFUNCTION("IMPORTRANGE(""https://docs.google.com/spreadsheets/d/1QqKyyYR6Q21VydFLVH3TRQUabQu_ym0Zz7PgGX0-kHA/edit?usp=sharing"",""แผน!EU82"")"),200)</f>
        <v>200</v>
      </c>
      <c r="J374" s="490">
        <f ca="1">J381</f>
        <v>46</v>
      </c>
      <c r="K374" s="491">
        <f t="shared" ca="1" si="164"/>
        <v>23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4"/>
      <c r="I376" s="269"/>
      <c r="J376" s="269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IFERROR(__xludf.DUMMYFUNCTION("IMPORTRANGE(""https://docs.google.com/spreadsheets/d/1XWAQStnk-4SwqDmLtmXYiTMKHgktTP8We1SCoS47DrQ/edit?usp=sharing"",""จัดที่ดิน!AH82"")"),2)</f>
        <v>2</v>
      </c>
      <c r="K377" s="497">
        <f t="shared" ref="K377:K382" si="165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IFERROR(__xludf.DUMMYFUNCTION("IMPORTRANGE(""https://docs.google.com/spreadsheets/d/1QqKyyYR6Q21VydFLVH3TRQUabQu_ym0Zz7PgGX0-kHA/edit?usp=sharing"",""แผน!ET82"")"),300)</f>
        <v>300</v>
      </c>
      <c r="J378" s="269">
        <f ca="1">IFERROR(__xludf.DUMMYFUNCTION("IMPORTRANGE(""https://docs.google.com/spreadsheets/d/1XWAQStnk-4SwqDmLtmXYiTMKHgktTP8We1SCoS47DrQ/edit?usp=sharing"",""จัดที่ดิน!AI82"")"),4.2)</f>
        <v>4.2</v>
      </c>
      <c r="K378" s="497">
        <f t="shared" ca="1" si="165"/>
        <v>1.4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6" t="s">
        <v>35</v>
      </c>
      <c r="I379" s="269">
        <f ca="1">IFERROR(__xludf.DUMMYFUNCTION("IMPORTRANGE(""https://docs.google.com/spreadsheets/d/1QqKyyYR6Q21VydFLVH3TRQUabQu_ym0Zz7PgGX0-kHA/edit?usp=sharing"",""แผน!EU82"")"),200)</f>
        <v>200</v>
      </c>
      <c r="J379" s="269">
        <f ca="1">IFERROR(__xludf.DUMMYFUNCTION("IMPORTRANGE(""https://docs.google.com/spreadsheets/d/1XWAQStnk-4SwqDmLtmXYiTMKHgktTP8We1SCoS47DrQ/edit?usp=sharing"",""จัดที่ดิน!AJ82"")"),46)</f>
        <v>46</v>
      </c>
      <c r="K379" s="497">
        <f t="shared" ca="1" si="165"/>
        <v>23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6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IFERROR(__xludf.DUMMYFUNCTION("IMPORTRANGE(""https://docs.google.com/spreadsheets/d/1XWAQStnk-4SwqDmLtmXYiTMKHgktTP8We1SCoS47DrQ/edit?usp=sharing"",""จัดที่ดิน!AK82"")"),324.77)</f>
        <v>324.77</v>
      </c>
      <c r="K380" s="497">
        <f t="shared" si="165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6" t="s">
        <v>35</v>
      </c>
      <c r="I381" s="269">
        <f ca="1">IFERROR(__xludf.DUMMYFUNCTION("IMPORTRANGE(""https://docs.google.com/spreadsheets/d/1QqKyyYR6Q21VydFLVH3TRQUabQu_ym0Zz7PgGX0-kHA/edit?usp=sharing"",""แผน!EU82"")"),200)</f>
        <v>200</v>
      </c>
      <c r="J381" s="269">
        <f ca="1">IFERROR(__xludf.DUMMYFUNCTION("IMPORTRANGE(""https://docs.google.com/spreadsheets/d/1XWAQStnk-4SwqDmLtmXYiTMKHgktTP8We1SCoS47DrQ/edit?usp=sharing"",""จัดที่ดิน!AL82"")"),46)</f>
        <v>46</v>
      </c>
      <c r="K381" s="497">
        <f t="shared" ca="1" si="165"/>
        <v>23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6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IFERROR(__xludf.DUMMYFUNCTION("IMPORTRANGE(""https://docs.google.com/spreadsheets/d/1XWAQStnk-4SwqDmLtmXYiTMKHgktTP8We1SCoS47DrQ/edit?usp=sharing"",""จัดที่ดิน!AM82"")"),324.77)</f>
        <v>324.77</v>
      </c>
      <c r="K382" s="497">
        <f t="shared" si="165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6" t="s">
        <v>170</v>
      </c>
      <c r="E383" s="256"/>
      <c r="F383" s="256"/>
      <c r="G383" s="258"/>
      <c r="H383" s="455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4"/>
      <c r="I384" s="269"/>
      <c r="J384" s="269"/>
      <c r="K384" s="497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8" t="s">
        <v>163</v>
      </c>
      <c r="F385" s="380"/>
      <c r="G385" s="381"/>
      <c r="H385" s="499" t="s">
        <v>35</v>
      </c>
      <c r="I385" s="500">
        <f ca="1">IFERROR(__xludf.DUMMYFUNCTION("IMPORTRANGE(""https://docs.google.com/spreadsheets/d/1QqKyyYR6Q21VydFLVH3TRQUabQu_ym0Zz7PgGX0-kHA/edit?usp=sharing"",""แผน!EW82"")"),10)</f>
        <v>10</v>
      </c>
      <c r="J385" s="500">
        <f ca="1">IFERROR(__xludf.DUMMYFUNCTION("IMPORTRANGE(""https://docs.google.com/spreadsheets/d/1XWAQStnk-4SwqDmLtmXYiTMKHgktTP8We1SCoS47DrQ/edit?usp=sharing"",""จัดที่ดิน!AP82"")"),0)</f>
        <v>0</v>
      </c>
      <c r="K385" s="501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69</v>
      </c>
      <c r="I388" s="521">
        <f t="shared" ref="I388:J388" si="166">I400</f>
        <v>0</v>
      </c>
      <c r="J388" s="521">
        <f t="shared" si="166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7">L390+L391</f>
        <v>0</v>
      </c>
      <c r="M389" s="155">
        <f t="shared" ca="1" si="167"/>
        <v>0</v>
      </c>
      <c r="N389" s="155">
        <f t="shared" ca="1" si="167"/>
        <v>0</v>
      </c>
      <c r="O389" s="155">
        <f t="shared" ref="O389:O397" ca="1" si="168">IF(L389&gt;0,N389*100/L389,0)</f>
        <v>0</v>
      </c>
      <c r="P389" s="155">
        <f t="shared" ref="P389:P397" ca="1" si="169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70">L393+L396</f>
        <v>0</v>
      </c>
      <c r="M390" s="93">
        <f t="shared" si="170"/>
        <v>0</v>
      </c>
      <c r="N390" s="93">
        <f t="shared" si="170"/>
        <v>0</v>
      </c>
      <c r="O390" s="93">
        <f t="shared" si="168"/>
        <v>0</v>
      </c>
      <c r="P390" s="93">
        <f t="shared" si="169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70"/>
        <v>0</v>
      </c>
      <c r="M391" s="93">
        <f t="shared" ca="1" si="170"/>
        <v>0</v>
      </c>
      <c r="N391" s="93">
        <f t="shared" ca="1" si="170"/>
        <v>0</v>
      </c>
      <c r="O391" s="93">
        <f t="shared" ca="1" si="168"/>
        <v>0</v>
      </c>
      <c r="P391" s="93">
        <f t="shared" ca="1" si="169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1">L393+L394</f>
        <v>0</v>
      </c>
      <c r="M392" s="497">
        <f t="shared" ca="1" si="171"/>
        <v>0</v>
      </c>
      <c r="N392" s="497">
        <f t="shared" ca="1" si="171"/>
        <v>0</v>
      </c>
      <c r="O392" s="497">
        <f t="shared" ca="1" si="168"/>
        <v>0</v>
      </c>
      <c r="P392" s="497">
        <f t="shared" ca="1" si="169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8"/>
        <v>0</v>
      </c>
      <c r="P393" s="93">
        <f t="shared" si="169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8"/>
        <v>0</v>
      </c>
      <c r="P394" s="93">
        <f t="shared" ca="1" si="169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2">L396+L397</f>
        <v>0</v>
      </c>
      <c r="M395" s="497">
        <f t="shared" ca="1" si="172"/>
        <v>0</v>
      </c>
      <c r="N395" s="497">
        <f t="shared" ca="1" si="172"/>
        <v>0</v>
      </c>
      <c r="O395" s="497">
        <f t="shared" ca="1" si="168"/>
        <v>0</v>
      </c>
      <c r="P395" s="497">
        <f t="shared" ca="1" si="169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8"/>
        <v>0</v>
      </c>
      <c r="P396" s="93">
        <f t="shared" si="169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8"/>
        <v>0</v>
      </c>
      <c r="P397" s="93">
        <f t="shared" ca="1" si="169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4"/>
      <c r="I398" s="184"/>
      <c r="J398" s="269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69">
        <v>0</v>
      </c>
      <c r="J399" s="214">
        <v>0</v>
      </c>
      <c r="K399" s="497">
        <f t="shared" ref="K399:K401" si="173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7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7">
        <f t="shared" si="173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69</v>
      </c>
      <c r="I401" s="521">
        <f t="shared" ref="I401:J401" si="174">I412</f>
        <v>0</v>
      </c>
      <c r="J401" s="521">
        <f t="shared" si="174"/>
        <v>0</v>
      </c>
      <c r="K401" s="522">
        <f t="shared" si="173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5">L403+L404</f>
        <v>0</v>
      </c>
      <c r="M402" s="155">
        <f t="shared" ca="1" si="175"/>
        <v>0</v>
      </c>
      <c r="N402" s="155">
        <f t="shared" ca="1" si="175"/>
        <v>0</v>
      </c>
      <c r="O402" s="155">
        <f t="shared" ref="O402:O410" ca="1" si="176">IF(L402&gt;0,N402*100/L402,0)</f>
        <v>0</v>
      </c>
      <c r="P402" s="155">
        <f t="shared" ref="P402:P410" ca="1" si="17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8">L406+L409</f>
        <v>0</v>
      </c>
      <c r="M403" s="93">
        <f t="shared" si="178"/>
        <v>0</v>
      </c>
      <c r="N403" s="93">
        <f t="shared" si="178"/>
        <v>0</v>
      </c>
      <c r="O403" s="93">
        <f t="shared" si="176"/>
        <v>0</v>
      </c>
      <c r="P403" s="93">
        <f t="shared" si="17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8"/>
        <v>0</v>
      </c>
      <c r="M404" s="93">
        <f t="shared" ca="1" si="178"/>
        <v>0</v>
      </c>
      <c r="N404" s="93">
        <f t="shared" ca="1" si="178"/>
        <v>0</v>
      </c>
      <c r="O404" s="93">
        <f t="shared" ca="1" si="176"/>
        <v>0</v>
      </c>
      <c r="P404" s="93">
        <f t="shared" ca="1" si="17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9">L406+L407</f>
        <v>0</v>
      </c>
      <c r="M405" s="497">
        <f t="shared" ca="1" si="179"/>
        <v>0</v>
      </c>
      <c r="N405" s="497">
        <f t="shared" ca="1" si="179"/>
        <v>0</v>
      </c>
      <c r="O405" s="497">
        <f t="shared" ca="1" si="176"/>
        <v>0</v>
      </c>
      <c r="P405" s="497">
        <f t="shared" ca="1" si="17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6"/>
        <v>0</v>
      </c>
      <c r="P406" s="93">
        <f t="shared" si="17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6"/>
        <v>0</v>
      </c>
      <c r="P407" s="93">
        <f t="shared" ca="1" si="17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80">L409+L410</f>
        <v>0</v>
      </c>
      <c r="M408" s="497">
        <f t="shared" ca="1" si="180"/>
        <v>0</v>
      </c>
      <c r="N408" s="497">
        <f t="shared" ca="1" si="180"/>
        <v>0</v>
      </c>
      <c r="O408" s="497">
        <f t="shared" ca="1" si="176"/>
        <v>0</v>
      </c>
      <c r="P408" s="497">
        <f t="shared" ca="1" si="17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6"/>
        <v>0</v>
      </c>
      <c r="P409" s="93">
        <f t="shared" si="17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6"/>
        <v>0</v>
      </c>
      <c r="P410" s="93">
        <f t="shared" ca="1" si="17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4"/>
      <c r="I411" s="269"/>
      <c r="J411" s="269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69</v>
      </c>
      <c r="I412" s="269">
        <v>0</v>
      </c>
      <c r="J412" s="214">
        <v>0</v>
      </c>
      <c r="K412" s="497">
        <f t="shared" ref="K412:K413" si="181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1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2">L419+L444+L467+L502+L523+L544+L629+L655+L685+L737+L754+L770+L786+L805</f>
        <v>1094408</v>
      </c>
      <c r="M414" s="548">
        <f t="shared" si="182"/>
        <v>0</v>
      </c>
      <c r="N414" s="548">
        <f t="shared" si="182"/>
        <v>151826.97</v>
      </c>
      <c r="O414" s="548">
        <f ca="1">IF(L414&gt;0,N414*100/L414,0)</f>
        <v>13.872976988472306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3">I433</f>
        <v>15</v>
      </c>
      <c r="J417" s="564">
        <f t="shared" ca="1" si="183"/>
        <v>0</v>
      </c>
      <c r="K417" s="565">
        <f t="shared" ref="K417:K418" ca="1" si="184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3"/>
        <v>1</v>
      </c>
      <c r="J418" s="564">
        <f t="shared" si="183"/>
        <v>0</v>
      </c>
      <c r="K418" s="565">
        <f t="shared" ca="1" si="184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59" t="s">
        <v>17</v>
      </c>
      <c r="E419" s="839"/>
      <c r="F419" s="839"/>
      <c r="G419" s="151"/>
      <c r="H419" s="274" t="s">
        <v>12</v>
      </c>
      <c r="I419" s="420"/>
      <c r="J419" s="420"/>
      <c r="K419" s="154"/>
      <c r="L419" s="155">
        <f t="shared" ref="L419:N419" ca="1" si="185">L420+L421</f>
        <v>66560</v>
      </c>
      <c r="M419" s="155">
        <f t="shared" si="185"/>
        <v>0</v>
      </c>
      <c r="N419" s="155">
        <f t="shared" si="185"/>
        <v>38650</v>
      </c>
      <c r="O419" s="155">
        <f t="shared" ref="O419:O424" ca="1" si="186">IF(L419&gt;0,N419*100/L419,0)</f>
        <v>58.067908653846153</v>
      </c>
      <c r="P419" s="155">
        <f t="shared" ref="P419:P424" si="187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8">L423+L430</f>
        <v>0</v>
      </c>
      <c r="M420" s="93">
        <f t="shared" si="188"/>
        <v>0</v>
      </c>
      <c r="N420" s="93">
        <f t="shared" si="188"/>
        <v>0</v>
      </c>
      <c r="O420" s="93">
        <f t="shared" si="186"/>
        <v>0</v>
      </c>
      <c r="P420" s="93">
        <f t="shared" si="18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8"/>
        <v>66560</v>
      </c>
      <c r="M421" s="93">
        <f t="shared" si="188"/>
        <v>0</v>
      </c>
      <c r="N421" s="93">
        <f t="shared" si="188"/>
        <v>38650</v>
      </c>
      <c r="O421" s="93">
        <f t="shared" ca="1" si="186"/>
        <v>58.067908653846153</v>
      </c>
      <c r="P421" s="93">
        <f t="shared" si="187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9">L423+L424</f>
        <v>66560</v>
      </c>
      <c r="M422" s="497">
        <f t="shared" si="189"/>
        <v>0</v>
      </c>
      <c r="N422" s="497">
        <f t="shared" si="189"/>
        <v>38650</v>
      </c>
      <c r="O422" s="497">
        <f t="shared" ca="1" si="186"/>
        <v>58.067908653846153</v>
      </c>
      <c r="P422" s="497">
        <f t="shared" si="187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6"/>
        <v>0</v>
      </c>
      <c r="P423" s="93">
        <f t="shared" si="18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IFERROR(__xludf.DUMMYFUNCTION("IMPORTRANGE(""https://docs.google.com/spreadsheets/d/1QqKyyYR6Q21VydFLVH3TRQUabQu_ym0Zz7PgGX0-kHA/edit?usp=sharing"",""แผน!EY82"")"),66560)</f>
        <v>66560</v>
      </c>
      <c r="M424" s="93">
        <v>0</v>
      </c>
      <c r="N424" s="93">
        <f>N425+N426+N427+N428</f>
        <v>38650</v>
      </c>
      <c r="O424" s="93">
        <f t="shared" ca="1" si="186"/>
        <v>58.067908653846153</v>
      </c>
      <c r="P424" s="93">
        <f t="shared" si="187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5"/>
      <c r="D425" s="755"/>
      <c r="E425" s="755"/>
      <c r="F425" s="755" t="s">
        <v>186</v>
      </c>
      <c r="G425" s="189"/>
      <c r="H425" s="161" t="s">
        <v>12</v>
      </c>
      <c r="I425" s="269"/>
      <c r="J425" s="269"/>
      <c r="K425" s="497"/>
      <c r="L425" s="497"/>
      <c r="M425" s="497"/>
      <c r="N425" s="818">
        <v>4200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5"/>
      <c r="D426" s="755"/>
      <c r="E426" s="755"/>
      <c r="F426" s="755" t="s">
        <v>187</v>
      </c>
      <c r="G426" s="189"/>
      <c r="H426" s="161" t="s">
        <v>12</v>
      </c>
      <c r="I426" s="269"/>
      <c r="J426" s="269"/>
      <c r="K426" s="497"/>
      <c r="L426" s="497"/>
      <c r="M426" s="497"/>
      <c r="N426" s="818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5"/>
      <c r="D427" s="755"/>
      <c r="E427" s="755"/>
      <c r="F427" s="755" t="s">
        <v>188</v>
      </c>
      <c r="G427" s="189"/>
      <c r="H427" s="161" t="s">
        <v>12</v>
      </c>
      <c r="I427" s="269"/>
      <c r="J427" s="269"/>
      <c r="K427" s="497"/>
      <c r="L427" s="497"/>
      <c r="M427" s="497"/>
      <c r="N427" s="818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7"/>
      <c r="L428" s="497"/>
      <c r="M428" s="497"/>
      <c r="N428" s="818">
        <v>34450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90">L430+L431</f>
        <v>0</v>
      </c>
      <c r="M429" s="497">
        <f t="shared" si="190"/>
        <v>0</v>
      </c>
      <c r="N429" s="497">
        <f t="shared" si="190"/>
        <v>0</v>
      </c>
      <c r="O429" s="497">
        <f t="shared" ref="O429:O431" ca="1" si="191">IF(L429&gt;0,N429*100/L429,0)</f>
        <v>0</v>
      </c>
      <c r="P429" s="497">
        <f t="shared" ref="P429:P431" si="19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1"/>
        <v>0</v>
      </c>
      <c r="P430" s="93">
        <f t="shared" si="19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1"/>
        <v>0</v>
      </c>
      <c r="P431" s="93">
        <f t="shared" si="19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60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3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4">I438+I440</f>
        <v>1</v>
      </c>
      <c r="J434" s="675">
        <f t="shared" si="194"/>
        <v>0</v>
      </c>
      <c r="K434" s="195">
        <f t="shared" ca="1" si="193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IFERROR(__xludf.DUMMYFUNCTION("IMPORTRANGE(""https://docs.google.com/spreadsheets/d/1QqKyyYR6Q21VydFLVH3TRQUabQu_ym0Zz7PgGX0-kHA/edit?usp=sharing"",""แผน!FC82"")"),15)</f>
        <v>15</v>
      </c>
      <c r="J435" s="578">
        <v>0</v>
      </c>
      <c r="K435" s="497">
        <f t="shared" ca="1" si="193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69"/>
      <c r="J436" s="269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IFERROR(__xludf.DUMMYFUNCTION("IMPORTRANGE(""https://docs.google.com/spreadsheets/d/1QqKyyYR6Q21VydFLVH3TRQUabQu_ym0Zz7PgGX0-kHA/edit?usp=sharing"",""แผน!FD82"")"),0)</f>
        <v>0</v>
      </c>
      <c r="J437" s="578">
        <v>0</v>
      </c>
      <c r="K437" s="497">
        <f t="shared" ref="K437:K443" ca="1" si="195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69">
        <f ca="1">IFERROR(__xludf.DUMMYFUNCTION("IMPORTRANGE(""https://docs.google.com/spreadsheets/d/1QqKyyYR6Q21VydFLVH3TRQUabQu_ym0Zz7PgGX0-kHA/edit?usp=sharing"",""แผน!FE82"")"),0)</f>
        <v>0</v>
      </c>
      <c r="J438" s="214">
        <v>0</v>
      </c>
      <c r="K438" s="497">
        <f t="shared" ca="1" si="195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IFERROR(__xludf.DUMMYFUNCTION("IMPORTRANGE(""https://docs.google.com/spreadsheets/d/1QqKyyYR6Q21VydFLVH3TRQUabQu_ym0Zz7PgGX0-kHA/edit?usp=sharing"",""แผน!FF82"")"),15)</f>
        <v>15</v>
      </c>
      <c r="J439" s="578">
        <v>0</v>
      </c>
      <c r="K439" s="497">
        <f t="shared" ca="1" si="195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69">
        <f ca="1">IFERROR(__xludf.DUMMYFUNCTION("IMPORTRANGE(""https://docs.google.com/spreadsheets/d/1QqKyyYR6Q21VydFLVH3TRQUabQu_ym0Zz7PgGX0-kHA/edit?usp=sharing"",""แผน!FG82"")"),1)</f>
        <v>1</v>
      </c>
      <c r="J440" s="214">
        <v>0</v>
      </c>
      <c r="K440" s="497">
        <f t="shared" ca="1" si="195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69">
        <f ca="1">IFERROR(__xludf.DUMMYFUNCTION("IMPORTRANGE(""https://docs.google.com/spreadsheets/d/1QqKyyYR6Q21VydFLVH3TRQUabQu_ym0Zz7PgGX0-kHA/edit?usp=sharing"",""แผน!FH82"")"),0)</f>
        <v>0</v>
      </c>
      <c r="J441" s="269">
        <v>0</v>
      </c>
      <c r="K441" s="497">
        <f t="shared" ca="1" si="195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6">I460</f>
        <v>40</v>
      </c>
      <c r="J442" s="584">
        <f t="shared" si="196"/>
        <v>40</v>
      </c>
      <c r="K442" s="585">
        <f t="shared" ca="1" si="195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7">I462</f>
        <v>120</v>
      </c>
      <c r="J443" s="564">
        <f t="shared" si="197"/>
        <v>120</v>
      </c>
      <c r="K443" s="565">
        <f t="shared" ca="1" si="195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5"/>
      <c r="C444" s="755" t="s">
        <v>16</v>
      </c>
      <c r="D444" s="840" t="s">
        <v>17</v>
      </c>
      <c r="E444" s="834"/>
      <c r="F444" s="834"/>
      <c r="G444" s="189"/>
      <c r="H444" s="592" t="s">
        <v>12</v>
      </c>
      <c r="I444" s="269"/>
      <c r="J444" s="269"/>
      <c r="K444" s="497"/>
      <c r="L444" s="195">
        <f t="shared" ref="L444:N444" ca="1" si="198">L445+L446</f>
        <v>367400</v>
      </c>
      <c r="M444" s="195">
        <f t="shared" si="198"/>
        <v>0</v>
      </c>
      <c r="N444" s="195">
        <f t="shared" si="198"/>
        <v>76370</v>
      </c>
      <c r="O444" s="195">
        <f t="shared" ref="O444:O449" ca="1" si="199">IF(L444&gt;0,N444*100/L444,0)</f>
        <v>20.786608600979857</v>
      </c>
      <c r="P444" s="195">
        <f t="shared" ref="P444:P449" si="200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1"/>
      <c r="C445" s="751"/>
      <c r="D445" s="712"/>
      <c r="E445" s="751" t="s">
        <v>184</v>
      </c>
      <c r="F445" s="751"/>
      <c r="G445" s="597"/>
      <c r="H445" s="165" t="s">
        <v>12</v>
      </c>
      <c r="I445" s="611"/>
      <c r="J445" s="611"/>
      <c r="K445" s="93"/>
      <c r="L445" s="93">
        <f t="shared" ref="L445:N446" si="201">L448+L455</f>
        <v>0</v>
      </c>
      <c r="M445" s="93">
        <f t="shared" si="201"/>
        <v>0</v>
      </c>
      <c r="N445" s="93">
        <f t="shared" si="201"/>
        <v>0</v>
      </c>
      <c r="O445" s="93">
        <f t="shared" si="199"/>
        <v>0</v>
      </c>
      <c r="P445" s="93">
        <f t="shared" si="200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1"/>
      <c r="D446" s="712"/>
      <c r="E446" s="751" t="s">
        <v>185</v>
      </c>
      <c r="F446" s="751"/>
      <c r="G446" s="597"/>
      <c r="H446" s="165" t="s">
        <v>12</v>
      </c>
      <c r="I446" s="611"/>
      <c r="J446" s="611"/>
      <c r="K446" s="93"/>
      <c r="L446" s="93">
        <f t="shared" ca="1" si="201"/>
        <v>367400</v>
      </c>
      <c r="M446" s="93">
        <f t="shared" si="201"/>
        <v>0</v>
      </c>
      <c r="N446" s="93">
        <f t="shared" si="201"/>
        <v>76370</v>
      </c>
      <c r="O446" s="93">
        <f t="shared" ca="1" si="199"/>
        <v>20.786608600979857</v>
      </c>
      <c r="P446" s="93">
        <f t="shared" si="200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5"/>
      <c r="D447" s="600" t="s">
        <v>20</v>
      </c>
      <c r="E447" s="755"/>
      <c r="F447" s="755"/>
      <c r="G447" s="189"/>
      <c r="H447" s="161" t="s">
        <v>12</v>
      </c>
      <c r="I447" s="184"/>
      <c r="J447" s="184"/>
      <c r="K447" s="163"/>
      <c r="L447" s="497">
        <f t="shared" ref="L447:N447" ca="1" si="202">L448+L449</f>
        <v>367400</v>
      </c>
      <c r="M447" s="497">
        <f t="shared" si="202"/>
        <v>0</v>
      </c>
      <c r="N447" s="497">
        <f t="shared" si="202"/>
        <v>76370</v>
      </c>
      <c r="O447" s="497">
        <f t="shared" ca="1" si="199"/>
        <v>20.786608600979857</v>
      </c>
      <c r="P447" s="497">
        <f t="shared" si="200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1"/>
      <c r="D448" s="712"/>
      <c r="E448" s="751" t="s">
        <v>184</v>
      </c>
      <c r="F448" s="751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9"/>
        <v>0</v>
      </c>
      <c r="P448" s="93">
        <f t="shared" si="200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1"/>
      <c r="D449" s="712"/>
      <c r="E449" s="751" t="s">
        <v>185</v>
      </c>
      <c r="F449" s="751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v>0</v>
      </c>
      <c r="N449" s="93">
        <f>N450+N451+N452+N453</f>
        <v>76370</v>
      </c>
      <c r="O449" s="93">
        <f t="shared" ca="1" si="199"/>
        <v>20.786608600979857</v>
      </c>
      <c r="P449" s="93">
        <f t="shared" si="200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5"/>
      <c r="D450" s="755"/>
      <c r="E450" s="755"/>
      <c r="F450" s="755" t="s">
        <v>186</v>
      </c>
      <c r="G450" s="189"/>
      <c r="H450" s="161" t="s">
        <v>12</v>
      </c>
      <c r="I450" s="269"/>
      <c r="J450" s="269"/>
      <c r="K450" s="497"/>
      <c r="L450" s="497"/>
      <c r="M450" s="497"/>
      <c r="N450" s="818">
        <v>54400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5"/>
      <c r="D451" s="755"/>
      <c r="E451" s="755"/>
      <c r="F451" s="755" t="s">
        <v>187</v>
      </c>
      <c r="G451" s="189"/>
      <c r="H451" s="161" t="s">
        <v>12</v>
      </c>
      <c r="I451" s="269"/>
      <c r="J451" s="269"/>
      <c r="K451" s="497"/>
      <c r="L451" s="497"/>
      <c r="M451" s="497"/>
      <c r="N451" s="818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5" t="s">
        <v>188</v>
      </c>
      <c r="G452" s="189"/>
      <c r="H452" s="161" t="s">
        <v>12</v>
      </c>
      <c r="I452" s="269"/>
      <c r="J452" s="269"/>
      <c r="K452" s="497"/>
      <c r="L452" s="497"/>
      <c r="M452" s="497"/>
      <c r="N452" s="818">
        <v>13000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5" t="s">
        <v>189</v>
      </c>
      <c r="G453" s="189"/>
      <c r="H453" s="161" t="s">
        <v>12</v>
      </c>
      <c r="I453" s="269"/>
      <c r="J453" s="269"/>
      <c r="K453" s="497"/>
      <c r="L453" s="497"/>
      <c r="M453" s="497"/>
      <c r="N453" s="818">
        <v>8970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5"/>
      <c r="G454" s="189"/>
      <c r="H454" s="168" t="s">
        <v>12</v>
      </c>
      <c r="I454" s="184"/>
      <c r="J454" s="184"/>
      <c r="K454" s="163"/>
      <c r="L454" s="497">
        <f t="shared" ref="L454:N454" ca="1" si="203">L455+L456</f>
        <v>0</v>
      </c>
      <c r="M454" s="497">
        <f t="shared" si="203"/>
        <v>0</v>
      </c>
      <c r="N454" s="497">
        <f t="shared" si="203"/>
        <v>0</v>
      </c>
      <c r="O454" s="497">
        <f t="shared" ref="O454:O456" ca="1" si="204">IF(L454&gt;0,N454*100/L454,0)</f>
        <v>0</v>
      </c>
      <c r="P454" s="497">
        <f t="shared" ref="P454:P456" si="205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1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4"/>
        <v>0</v>
      </c>
      <c r="P455" s="93">
        <f t="shared" si="205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1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4"/>
        <v>0</v>
      </c>
      <c r="P456" s="93">
        <f t="shared" si="205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1" t="s">
        <v>38</v>
      </c>
      <c r="E457" s="605"/>
      <c r="F457" s="753"/>
      <c r="G457" s="607"/>
      <c r="H457" s="754"/>
      <c r="I457" s="269"/>
      <c r="J457" s="269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2"/>
      <c r="G458" s="365"/>
      <c r="H458" s="369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2"/>
      <c r="G459" s="365"/>
      <c r="H459" s="369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4"/>
      <c r="H460" s="756" t="s">
        <v>35</v>
      </c>
      <c r="I460" s="269">
        <f ca="1">IFERROR(__xludf.DUMMYFUNCTION("IMPORTRANGE(""https://docs.google.com/spreadsheets/d/1QqKyyYR6Q21VydFLVH3TRQUabQu_ym0Zz7PgGX0-kHA/edit?usp=sharing"",""แผน!FN82"")"),40)</f>
        <v>40</v>
      </c>
      <c r="J460" s="214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4"/>
      <c r="H461" s="756"/>
      <c r="I461" s="269"/>
      <c r="J461" s="269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4"/>
      <c r="H462" s="756" t="s">
        <v>46</v>
      </c>
      <c r="I462" s="269">
        <f ca="1">IFERROR(__xludf.DUMMYFUNCTION("IMPORTRANGE(""https://docs.google.com/spreadsheets/d/1QqKyyYR6Q21VydFLVH3TRQUabQu_ym0Zz7PgGX0-kHA/edit?usp=sharing"",""แผน!FO82"")"),120)</f>
        <v>120</v>
      </c>
      <c r="J462" s="214">
        <v>120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5"/>
      <c r="G463" s="189"/>
      <c r="H463" s="756" t="s">
        <v>46</v>
      </c>
      <c r="I463" s="269">
        <f ca="1">IFERROR(__xludf.DUMMYFUNCTION("IMPORTRANGE(""https://docs.google.com/spreadsheets/d/1QqKyyYR6Q21VydFLVH3TRQUabQu_ym0Zz7PgGX0-kHA/edit?usp=sharing"",""แผน!FO82"")"),120)</f>
        <v>120</v>
      </c>
      <c r="J463" s="214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6" t="s">
        <v>35</v>
      </c>
      <c r="I464" s="269">
        <f ca="1">IFERROR(__xludf.DUMMYFUNCTION("IMPORTRANGE(""https://docs.google.com/spreadsheets/d/1QqKyyYR6Q21VydFLVH3TRQUabQu_ym0Zz7PgGX0-kHA/edit?usp=sharing"",""แผน!FN82"")"),40)</f>
        <v>40</v>
      </c>
      <c r="J464" s="214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IFERROR(__xludf.DUMMYFUNCTION("IMPORTRANGE(""https://docs.google.com/spreadsheets/d/1QqKyyYR6Q21VydFLVH3TRQUabQu_ym0Zz7PgGX0-kHA/edit?usp=sharing"",""แผน!FX82"")"),31)</f>
        <v>31</v>
      </c>
      <c r="J465" s="584">
        <f>J485+J489+J492</f>
        <v>0</v>
      </c>
      <c r="K465" s="585">
        <f t="shared" ref="K465:K466" ca="1" si="206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IFERROR(__xludf.DUMMYFUNCTION("IMPORTRANGE(""https://docs.google.com/spreadsheets/d/1QqKyyYR6Q21VydFLVH3TRQUabQu_ym0Zz7PgGX0-kHA/edit?usp=sharing"",""แผน!FW82"")"),300)</f>
        <v>300</v>
      </c>
      <c r="J466" s="564">
        <f>J483+J487</f>
        <v>0</v>
      </c>
      <c r="K466" s="565">
        <f t="shared" ca="1" si="206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5"/>
      <c r="C467" s="755" t="s">
        <v>16</v>
      </c>
      <c r="D467" s="840" t="s">
        <v>17</v>
      </c>
      <c r="E467" s="834"/>
      <c r="F467" s="834"/>
      <c r="G467" s="189"/>
      <c r="H467" s="592" t="s">
        <v>12</v>
      </c>
      <c r="I467" s="269"/>
      <c r="J467" s="269"/>
      <c r="K467" s="497"/>
      <c r="L467" s="195">
        <f t="shared" ref="L467:N467" ca="1" si="207">L468+L469</f>
        <v>250523</v>
      </c>
      <c r="M467" s="195">
        <f t="shared" si="207"/>
        <v>0</v>
      </c>
      <c r="N467" s="195">
        <f t="shared" si="207"/>
        <v>0</v>
      </c>
      <c r="O467" s="195">
        <f t="shared" ref="O467:O472" ca="1" si="208">IF(L467&gt;0,N467*100/L467,0)</f>
        <v>0</v>
      </c>
      <c r="P467" s="195">
        <f t="shared" ref="P467:P472" si="209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1"/>
      <c r="C468" s="751"/>
      <c r="D468" s="712"/>
      <c r="E468" s="751" t="s">
        <v>184</v>
      </c>
      <c r="F468" s="751"/>
      <c r="G468" s="597"/>
      <c r="H468" s="165" t="s">
        <v>12</v>
      </c>
      <c r="I468" s="611"/>
      <c r="J468" s="611"/>
      <c r="K468" s="93"/>
      <c r="L468" s="93">
        <f t="shared" ref="L468:N469" si="210">L471+L478</f>
        <v>0</v>
      </c>
      <c r="M468" s="93">
        <f t="shared" si="210"/>
        <v>0</v>
      </c>
      <c r="N468" s="93">
        <f t="shared" si="210"/>
        <v>0</v>
      </c>
      <c r="O468" s="93">
        <f t="shared" si="208"/>
        <v>0</v>
      </c>
      <c r="P468" s="93">
        <f t="shared" si="209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1"/>
      <c r="D469" s="712"/>
      <c r="E469" s="751" t="s">
        <v>185</v>
      </c>
      <c r="F469" s="751"/>
      <c r="G469" s="597"/>
      <c r="H469" s="165" t="s">
        <v>12</v>
      </c>
      <c r="I469" s="611"/>
      <c r="J469" s="611"/>
      <c r="K469" s="93"/>
      <c r="L469" s="93">
        <f t="shared" ca="1" si="210"/>
        <v>250523</v>
      </c>
      <c r="M469" s="93">
        <f t="shared" si="210"/>
        <v>0</v>
      </c>
      <c r="N469" s="93">
        <f t="shared" si="210"/>
        <v>0</v>
      </c>
      <c r="O469" s="93">
        <f t="shared" ca="1" si="208"/>
        <v>0</v>
      </c>
      <c r="P469" s="93">
        <f t="shared" si="209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5"/>
      <c r="D470" s="600" t="s">
        <v>20</v>
      </c>
      <c r="E470" s="755"/>
      <c r="F470" s="755"/>
      <c r="G470" s="189"/>
      <c r="H470" s="161" t="s">
        <v>12</v>
      </c>
      <c r="I470" s="184"/>
      <c r="J470" s="184"/>
      <c r="K470" s="163"/>
      <c r="L470" s="497">
        <f t="shared" ref="L470:N470" ca="1" si="211">L471+L472</f>
        <v>250523</v>
      </c>
      <c r="M470" s="497">
        <f t="shared" si="211"/>
        <v>0</v>
      </c>
      <c r="N470" s="497">
        <f t="shared" si="211"/>
        <v>0</v>
      </c>
      <c r="O470" s="497">
        <f t="shared" ca="1" si="208"/>
        <v>0</v>
      </c>
      <c r="P470" s="497">
        <f t="shared" si="209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1"/>
      <c r="D471" s="712"/>
      <c r="E471" s="751" t="s">
        <v>184</v>
      </c>
      <c r="F471" s="751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8"/>
        <v>0</v>
      </c>
      <c r="P471" s="93">
        <f t="shared" si="209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1"/>
      <c r="D472" s="712"/>
      <c r="E472" s="751" t="s">
        <v>185</v>
      </c>
      <c r="F472" s="751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IFERROR(__xludf.DUMMYFUNCTION("IMPORTRANGE(""https://docs.google.com/spreadsheets/d/1QqKyyYR6Q21VydFLVH3TRQUabQu_ym0Zz7PgGX0-kHA/edit?usp=sharing"",""แผน!FS82"")"),250523)</f>
        <v>250523</v>
      </c>
      <c r="M472" s="93">
        <v>0</v>
      </c>
      <c r="N472" s="93">
        <f>N473+N474+N475+N476</f>
        <v>0</v>
      </c>
      <c r="O472" s="93">
        <f t="shared" ca="1" si="208"/>
        <v>0</v>
      </c>
      <c r="P472" s="93">
        <f t="shared" si="209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5"/>
      <c r="D473" s="755"/>
      <c r="E473" s="755"/>
      <c r="F473" s="755" t="s">
        <v>186</v>
      </c>
      <c r="G473" s="189"/>
      <c r="H473" s="161" t="s">
        <v>12</v>
      </c>
      <c r="I473" s="269"/>
      <c r="J473" s="269"/>
      <c r="K473" s="497"/>
      <c r="L473" s="497"/>
      <c r="M473" s="497"/>
      <c r="N473" s="818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5"/>
      <c r="D474" s="755"/>
      <c r="E474" s="755"/>
      <c r="F474" s="755" t="s">
        <v>187</v>
      </c>
      <c r="G474" s="189"/>
      <c r="H474" s="161" t="s">
        <v>12</v>
      </c>
      <c r="I474" s="269"/>
      <c r="J474" s="269"/>
      <c r="K474" s="497"/>
      <c r="L474" s="497"/>
      <c r="M474" s="497"/>
      <c r="N474" s="818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5" t="s">
        <v>188</v>
      </c>
      <c r="G475" s="189"/>
      <c r="H475" s="161" t="s">
        <v>12</v>
      </c>
      <c r="I475" s="269"/>
      <c r="J475" s="269"/>
      <c r="K475" s="497"/>
      <c r="L475" s="497"/>
      <c r="M475" s="497"/>
      <c r="N475" s="818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5" t="s">
        <v>189</v>
      </c>
      <c r="G476" s="189"/>
      <c r="H476" s="161" t="s">
        <v>12</v>
      </c>
      <c r="I476" s="269"/>
      <c r="J476" s="269"/>
      <c r="K476" s="497"/>
      <c r="L476" s="497"/>
      <c r="M476" s="497"/>
      <c r="N476" s="818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2">L478+L479</f>
        <v>0</v>
      </c>
      <c r="M477" s="497">
        <f t="shared" si="212"/>
        <v>0</v>
      </c>
      <c r="N477" s="497">
        <f t="shared" si="212"/>
        <v>0</v>
      </c>
      <c r="O477" s="497">
        <f t="shared" ref="O477:O479" ca="1" si="213">IF(L477&gt;0,N477*100/L477,0)</f>
        <v>0</v>
      </c>
      <c r="P477" s="497">
        <f t="shared" ref="P477:P479" si="214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3"/>
        <v>0</v>
      </c>
      <c r="P478" s="93">
        <f t="shared" si="214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3"/>
        <v>0</v>
      </c>
      <c r="P479" s="93">
        <f t="shared" si="214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2" t="s">
        <v>38</v>
      </c>
      <c r="E480" s="605"/>
      <c r="F480" s="753"/>
      <c r="G480" s="607"/>
      <c r="H480" s="754"/>
      <c r="I480" s="269"/>
      <c r="J480" s="269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4"/>
      <c r="H481" s="189"/>
      <c r="I481" s="269"/>
      <c r="J481" s="269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4"/>
      <c r="H482" s="189"/>
      <c r="I482" s="269"/>
      <c r="J482" s="269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4"/>
      <c r="H483" s="617" t="s">
        <v>46</v>
      </c>
      <c r="I483" s="269">
        <f ca="1">IFERROR(__xludf.DUMMYFUNCTION("IMPORTRANGE(""https://docs.google.com/spreadsheets/d/1QqKyyYR6Q21VydFLVH3TRQUabQu_ym0Zz7PgGX0-kHA/edit?usp=sharing"",""แผน!FY82"")"),270)</f>
        <v>270</v>
      </c>
      <c r="J483" s="214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4"/>
      <c r="H484" s="617" t="s">
        <v>35</v>
      </c>
      <c r="I484" s="269"/>
      <c r="J484" s="214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4"/>
      <c r="H485" s="617" t="s">
        <v>35</v>
      </c>
      <c r="I485" s="269">
        <f ca="1">IFERROR(__xludf.DUMMYFUNCTION("IMPORTRANGE(""https://docs.google.com/spreadsheets/d/1QqKyyYR6Q21VydFLVH3TRQUabQu_ym0Zz7PgGX0-kHA/edit?usp=sharing"",""แผน!FZ82"")"),27)</f>
        <v>27</v>
      </c>
      <c r="J485" s="214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4"/>
      <c r="H486" s="617"/>
      <c r="I486" s="269"/>
      <c r="J486" s="269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4"/>
      <c r="H487" s="617" t="s">
        <v>46</v>
      </c>
      <c r="I487" s="269">
        <f ca="1">IFERROR(__xludf.DUMMYFUNCTION("IMPORTRANGE(""https://docs.google.com/spreadsheets/d/1QqKyyYR6Q21VydFLVH3TRQUabQu_ym0Zz7PgGX0-kHA/edit?usp=sharing"",""แผน!GA82"")"),30)</f>
        <v>30</v>
      </c>
      <c r="J487" s="214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4"/>
      <c r="H488" s="617" t="s">
        <v>35</v>
      </c>
      <c r="I488" s="269"/>
      <c r="J488" s="214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4"/>
      <c r="H489" s="617" t="s">
        <v>35</v>
      </c>
      <c r="I489" s="269">
        <f ca="1">IFERROR(__xludf.DUMMYFUNCTION("IMPORTRANGE(""https://docs.google.com/spreadsheets/d/1QqKyyYR6Q21VydFLVH3TRQUabQu_ym0Zz7PgGX0-kHA/edit?usp=sharing"",""แผน!GB82"")"),3)</f>
        <v>3</v>
      </c>
      <c r="J489" s="214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4"/>
      <c r="H490" s="617"/>
      <c r="I490" s="269"/>
      <c r="J490" s="269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4"/>
      <c r="H491" s="617" t="s">
        <v>35</v>
      </c>
      <c r="I491" s="269"/>
      <c r="J491" s="214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4"/>
      <c r="H492" s="617" t="s">
        <v>35</v>
      </c>
      <c r="I492" s="269">
        <f ca="1">IFERROR(__xludf.DUMMYFUNCTION("IMPORTRANGE(""https://docs.google.com/spreadsheets/d/1QqKyyYR6Q21VydFLVH3TRQUabQu_ym0Zz7PgGX0-kHA/edit?usp=sharing"",""แผน!GC82"")"),1)</f>
        <v>1</v>
      </c>
      <c r="J492" s="214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4"/>
      <c r="H493" s="189"/>
      <c r="I493" s="269"/>
      <c r="J493" s="269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4"/>
      <c r="H494" s="189"/>
      <c r="I494" s="269"/>
      <c r="J494" s="269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4"/>
      <c r="H495" s="617" t="s">
        <v>46</v>
      </c>
      <c r="I495" s="269">
        <f ca="1">IFERROR(__xludf.DUMMYFUNCTION("IMPORTRANGE(""https://docs.google.com/spreadsheets/d/1QqKyyYR6Q21VydFLVH3TRQUabQu_ym0Zz7PgGX0-kHA/edit?usp=sharing"",""แผน!FY82"")"),270)</f>
        <v>270</v>
      </c>
      <c r="J495" s="214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4"/>
      <c r="H496" s="617" t="s">
        <v>46</v>
      </c>
      <c r="I496" s="269"/>
      <c r="J496" s="214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4"/>
      <c r="H497" s="189"/>
      <c r="I497" s="269"/>
      <c r="J497" s="269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4"/>
      <c r="H498" s="617" t="s">
        <v>46</v>
      </c>
      <c r="I498" s="269">
        <f ca="1">IFERROR(__xludf.DUMMYFUNCTION("IMPORTRANGE(""https://docs.google.com/spreadsheets/d/1QqKyyYR6Q21VydFLVH3TRQUabQu_ym0Zz7PgGX0-kHA/edit?usp=sharing"",""แผน!GA82"")"),30)</f>
        <v>30</v>
      </c>
      <c r="J498" s="214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4"/>
      <c r="H499" s="617" t="s">
        <v>46</v>
      </c>
      <c r="I499" s="269"/>
      <c r="J499" s="214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5">J516</f>
        <v>0</v>
      </c>
      <c r="K500" s="628">
        <f t="shared" ref="K500:K501" si="216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5"/>
        <v>0</v>
      </c>
      <c r="K501" s="637">
        <f t="shared" si="216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1"/>
      <c r="C502" s="751" t="s">
        <v>16</v>
      </c>
      <c r="D502" s="841" t="s">
        <v>17</v>
      </c>
      <c r="E502" s="834"/>
      <c r="F502" s="834"/>
      <c r="G502" s="597"/>
      <c r="H502" s="640" t="s">
        <v>12</v>
      </c>
      <c r="I502" s="611"/>
      <c r="J502" s="611"/>
      <c r="K502" s="93"/>
      <c r="L502" s="641">
        <f t="shared" ref="L502:N502" si="217">L503+L504</f>
        <v>0</v>
      </c>
      <c r="M502" s="641">
        <f t="shared" si="217"/>
        <v>0</v>
      </c>
      <c r="N502" s="641">
        <f t="shared" si="217"/>
        <v>0</v>
      </c>
      <c r="O502" s="641">
        <f t="shared" ref="O502:O507" si="218">IF(L502&gt;0,N502*100/L502,0)</f>
        <v>0</v>
      </c>
      <c r="P502" s="641">
        <f t="shared" ref="P502:P507" si="219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1"/>
      <c r="C503" s="751"/>
      <c r="D503" s="712"/>
      <c r="E503" s="751" t="s">
        <v>184</v>
      </c>
      <c r="F503" s="751"/>
      <c r="G503" s="597"/>
      <c r="H503" s="165" t="s">
        <v>12</v>
      </c>
      <c r="I503" s="611"/>
      <c r="J503" s="611"/>
      <c r="K503" s="93"/>
      <c r="L503" s="93">
        <f t="shared" ref="L503:N504" si="220">L506+L513</f>
        <v>0</v>
      </c>
      <c r="M503" s="93">
        <f t="shared" si="220"/>
        <v>0</v>
      </c>
      <c r="N503" s="93">
        <f t="shared" si="220"/>
        <v>0</v>
      </c>
      <c r="O503" s="93">
        <f t="shared" si="218"/>
        <v>0</v>
      </c>
      <c r="P503" s="93">
        <f t="shared" si="219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1"/>
      <c r="D504" s="712"/>
      <c r="E504" s="751" t="s">
        <v>185</v>
      </c>
      <c r="F504" s="751"/>
      <c r="G504" s="597"/>
      <c r="H504" s="165" t="s">
        <v>12</v>
      </c>
      <c r="I504" s="611"/>
      <c r="J504" s="611"/>
      <c r="K504" s="93"/>
      <c r="L504" s="93">
        <f t="shared" si="220"/>
        <v>0</v>
      </c>
      <c r="M504" s="93">
        <f t="shared" si="220"/>
        <v>0</v>
      </c>
      <c r="N504" s="93">
        <f t="shared" si="220"/>
        <v>0</v>
      </c>
      <c r="O504" s="93">
        <f t="shared" si="218"/>
        <v>0</v>
      </c>
      <c r="P504" s="93">
        <f t="shared" si="219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1"/>
      <c r="D505" s="642" t="s">
        <v>20</v>
      </c>
      <c r="E505" s="751"/>
      <c r="F505" s="751"/>
      <c r="G505" s="597"/>
      <c r="H505" s="165" t="s">
        <v>12</v>
      </c>
      <c r="I505" s="166"/>
      <c r="J505" s="166"/>
      <c r="K505" s="167"/>
      <c r="L505" s="93">
        <f t="shared" ref="L505:N505" si="221">L506+L507</f>
        <v>0</v>
      </c>
      <c r="M505" s="93">
        <f t="shared" si="221"/>
        <v>0</v>
      </c>
      <c r="N505" s="93">
        <f t="shared" si="221"/>
        <v>0</v>
      </c>
      <c r="O505" s="93">
        <f t="shared" si="218"/>
        <v>0</v>
      </c>
      <c r="P505" s="93">
        <f t="shared" si="219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1"/>
      <c r="D506" s="712"/>
      <c r="E506" s="751" t="s">
        <v>184</v>
      </c>
      <c r="F506" s="751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8"/>
        <v>0</v>
      </c>
      <c r="P506" s="93">
        <f t="shared" si="219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1"/>
      <c r="D507" s="712"/>
      <c r="E507" s="751" t="s">
        <v>185</v>
      </c>
      <c r="F507" s="751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8"/>
        <v>0</v>
      </c>
      <c r="P507" s="93">
        <f t="shared" si="219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1"/>
      <c r="D508" s="751"/>
      <c r="E508" s="751"/>
      <c r="F508" s="751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1"/>
      <c r="D509" s="751"/>
      <c r="E509" s="751"/>
      <c r="F509" s="751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1"/>
      <c r="F510" s="751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1"/>
      <c r="F511" s="751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1"/>
      <c r="G512" s="597"/>
      <c r="H512" s="169" t="s">
        <v>12</v>
      </c>
      <c r="I512" s="166"/>
      <c r="J512" s="166"/>
      <c r="K512" s="167"/>
      <c r="L512" s="93">
        <f t="shared" ref="L512:N512" si="222">L513+L514</f>
        <v>0</v>
      </c>
      <c r="M512" s="93">
        <f t="shared" si="222"/>
        <v>0</v>
      </c>
      <c r="N512" s="93">
        <f t="shared" si="222"/>
        <v>0</v>
      </c>
      <c r="O512" s="93">
        <f t="shared" ref="O512:O514" si="223">IF(L512&gt;0,N512*100/L512,0)</f>
        <v>0</v>
      </c>
      <c r="P512" s="93">
        <f t="shared" ref="P512:P514" si="224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1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3"/>
        <v>0</v>
      </c>
      <c r="P513" s="93">
        <f t="shared" si="224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1"/>
      <c r="E514" s="601" t="s">
        <v>19</v>
      </c>
      <c r="F514" s="751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3"/>
        <v>0</v>
      </c>
      <c r="P514" s="93">
        <f t="shared" si="224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3" t="s">
        <v>38</v>
      </c>
      <c r="E515" s="645"/>
      <c r="F515" s="645"/>
      <c r="G515" s="646"/>
      <c r="H515" s="365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2"/>
      <c r="F516" s="712"/>
      <c r="G516" s="365"/>
      <c r="H516" s="647" t="s">
        <v>109</v>
      </c>
      <c r="I516" s="611"/>
      <c r="J516" s="611">
        <v>0</v>
      </c>
      <c r="K516" s="167">
        <f t="shared" ref="K516:K517" si="225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2"/>
      <c r="F517" s="712"/>
      <c r="G517" s="365"/>
      <c r="H517" s="648" t="s">
        <v>35</v>
      </c>
      <c r="I517" s="649"/>
      <c r="J517" s="649">
        <f>J518+J519</f>
        <v>0</v>
      </c>
      <c r="K517" s="650">
        <f t="shared" si="225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2"/>
      <c r="G518" s="365"/>
      <c r="H518" s="369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2"/>
      <c r="G519" s="365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0">
        <f t="shared" ref="I522:J522" ca="1" si="226">I537</f>
        <v>0</v>
      </c>
      <c r="J522" s="700">
        <f t="shared" ca="1" si="226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5"/>
      <c r="C523" s="755" t="s">
        <v>16</v>
      </c>
      <c r="D523" s="840" t="s">
        <v>17</v>
      </c>
      <c r="E523" s="834"/>
      <c r="F523" s="834"/>
      <c r="G523" s="189"/>
      <c r="H523" s="592" t="s">
        <v>12</v>
      </c>
      <c r="I523" s="269"/>
      <c r="J523" s="269"/>
      <c r="K523" s="497"/>
      <c r="L523" s="195">
        <f t="shared" ref="L523:N523" ca="1" si="227">L524+L525</f>
        <v>0</v>
      </c>
      <c r="M523" s="195">
        <f t="shared" si="227"/>
        <v>0</v>
      </c>
      <c r="N523" s="195">
        <f t="shared" si="227"/>
        <v>0</v>
      </c>
      <c r="O523" s="195">
        <f t="shared" ref="O523:O528" ca="1" si="228">IF(L523&gt;0,N523*100/L523,0)</f>
        <v>0</v>
      </c>
      <c r="P523" s="195">
        <f t="shared" ref="P523:P528" si="229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1"/>
      <c r="C524" s="751"/>
      <c r="D524" s="712"/>
      <c r="E524" s="751" t="s">
        <v>184</v>
      </c>
      <c r="F524" s="751"/>
      <c r="G524" s="597"/>
      <c r="H524" s="165" t="s">
        <v>12</v>
      </c>
      <c r="I524" s="611"/>
      <c r="J524" s="611"/>
      <c r="K524" s="93"/>
      <c r="L524" s="93">
        <f t="shared" ref="L524:N525" si="230">L527+L534</f>
        <v>0</v>
      </c>
      <c r="M524" s="93">
        <f t="shared" si="230"/>
        <v>0</v>
      </c>
      <c r="N524" s="93">
        <f t="shared" si="230"/>
        <v>0</v>
      </c>
      <c r="O524" s="93">
        <f t="shared" si="228"/>
        <v>0</v>
      </c>
      <c r="P524" s="93">
        <f t="shared" si="229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1"/>
      <c r="D525" s="712"/>
      <c r="E525" s="751" t="s">
        <v>185</v>
      </c>
      <c r="F525" s="751"/>
      <c r="G525" s="597"/>
      <c r="H525" s="165" t="s">
        <v>12</v>
      </c>
      <c r="I525" s="611"/>
      <c r="J525" s="611"/>
      <c r="K525" s="93"/>
      <c r="L525" s="93">
        <f t="shared" ca="1" si="230"/>
        <v>0</v>
      </c>
      <c r="M525" s="93">
        <f t="shared" si="230"/>
        <v>0</v>
      </c>
      <c r="N525" s="93">
        <f t="shared" si="230"/>
        <v>0</v>
      </c>
      <c r="O525" s="93">
        <f t="shared" ca="1" si="228"/>
        <v>0</v>
      </c>
      <c r="P525" s="93">
        <f t="shared" si="229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5"/>
      <c r="D526" s="600" t="s">
        <v>20</v>
      </c>
      <c r="E526" s="755"/>
      <c r="F526" s="755"/>
      <c r="G526" s="189"/>
      <c r="H526" s="161" t="s">
        <v>12</v>
      </c>
      <c r="I526" s="184"/>
      <c r="J526" s="184"/>
      <c r="K526" s="163"/>
      <c r="L526" s="497">
        <f t="shared" ref="L526:N526" ca="1" si="231">L527+L528</f>
        <v>0</v>
      </c>
      <c r="M526" s="497">
        <f t="shared" si="231"/>
        <v>0</v>
      </c>
      <c r="N526" s="497">
        <f t="shared" si="231"/>
        <v>0</v>
      </c>
      <c r="O526" s="497">
        <f t="shared" ca="1" si="228"/>
        <v>0</v>
      </c>
      <c r="P526" s="497">
        <f t="shared" si="229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1"/>
      <c r="D527" s="712"/>
      <c r="E527" s="751" t="s">
        <v>184</v>
      </c>
      <c r="F527" s="751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8"/>
        <v>0</v>
      </c>
      <c r="P527" s="93">
        <f t="shared" si="229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1"/>
      <c r="D528" s="712"/>
      <c r="E528" s="751" t="s">
        <v>185</v>
      </c>
      <c r="F528" s="751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8"/>
        <v>0</v>
      </c>
      <c r="P528" s="93">
        <f t="shared" si="229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5"/>
      <c r="D529" s="755"/>
      <c r="E529" s="755"/>
      <c r="F529" s="755" t="s">
        <v>186</v>
      </c>
      <c r="G529" s="189"/>
      <c r="H529" s="161" t="s">
        <v>12</v>
      </c>
      <c r="I529" s="269"/>
      <c r="J529" s="269"/>
      <c r="K529" s="497"/>
      <c r="L529" s="497"/>
      <c r="M529" s="497"/>
      <c r="N529" s="818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5"/>
      <c r="D530" s="755"/>
      <c r="E530" s="755"/>
      <c r="F530" s="755" t="s">
        <v>187</v>
      </c>
      <c r="G530" s="189"/>
      <c r="H530" s="161" t="s">
        <v>12</v>
      </c>
      <c r="I530" s="269"/>
      <c r="J530" s="269"/>
      <c r="K530" s="497"/>
      <c r="L530" s="497"/>
      <c r="M530" s="497"/>
      <c r="N530" s="818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5"/>
      <c r="D531" s="755"/>
      <c r="E531" s="755"/>
      <c r="F531" s="755" t="s">
        <v>188</v>
      </c>
      <c r="G531" s="189"/>
      <c r="H531" s="161" t="s">
        <v>12</v>
      </c>
      <c r="I531" s="269"/>
      <c r="J531" s="269"/>
      <c r="K531" s="497"/>
      <c r="L531" s="497"/>
      <c r="M531" s="497"/>
      <c r="N531" s="818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5"/>
      <c r="D532" s="755"/>
      <c r="E532" s="755"/>
      <c r="F532" s="755" t="s">
        <v>189</v>
      </c>
      <c r="G532" s="189"/>
      <c r="H532" s="161" t="s">
        <v>12</v>
      </c>
      <c r="I532" s="269"/>
      <c r="J532" s="269"/>
      <c r="K532" s="497"/>
      <c r="L532" s="497"/>
      <c r="M532" s="497"/>
      <c r="N532" s="818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5"/>
      <c r="D533" s="600" t="s">
        <v>21</v>
      </c>
      <c r="E533" s="755"/>
      <c r="F533" s="755"/>
      <c r="G533" s="189"/>
      <c r="H533" s="168" t="s">
        <v>12</v>
      </c>
      <c r="I533" s="184"/>
      <c r="J533" s="184"/>
      <c r="K533" s="163"/>
      <c r="L533" s="497">
        <f t="shared" ref="L533:N533" ca="1" si="232">L534+L535</f>
        <v>0</v>
      </c>
      <c r="M533" s="497">
        <f t="shared" si="232"/>
        <v>0</v>
      </c>
      <c r="N533" s="497">
        <f t="shared" si="232"/>
        <v>0</v>
      </c>
      <c r="O533" s="497">
        <f t="shared" ref="O533:O535" ca="1" si="233">IF(L533&gt;0,N533*100/L533,0)</f>
        <v>0</v>
      </c>
      <c r="P533" s="497">
        <f t="shared" ref="P533:P535" si="234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1"/>
      <c r="D534" s="751"/>
      <c r="E534" s="751" t="s">
        <v>18</v>
      </c>
      <c r="F534" s="751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3"/>
        <v>0</v>
      </c>
      <c r="P534" s="93">
        <f t="shared" si="234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1"/>
      <c r="D535" s="751"/>
      <c r="E535" s="751" t="s">
        <v>19</v>
      </c>
      <c r="F535" s="751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3"/>
        <v>0</v>
      </c>
      <c r="P535" s="93">
        <f t="shared" si="234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5" t="s">
        <v>16</v>
      </c>
      <c r="D536" s="864" t="s">
        <v>38</v>
      </c>
      <c r="E536" s="753"/>
      <c r="F536" s="753"/>
      <c r="G536" s="607"/>
      <c r="H536" s="754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5"/>
      <c r="D537" s="755" t="s">
        <v>227</v>
      </c>
      <c r="E537" s="755"/>
      <c r="F537" s="755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IFERROR(__xludf.DUMMYFUNCTION("IMPORTRANGE(""https://docs.google.com/spreadsheets/d/1QqKyyYR6Q21VydFLVH3TRQUabQu_ym0Zz7PgGX0-kHA/edit?usp=sharing"",""แผน!GU82"")"),0)</f>
        <v>0</v>
      </c>
      <c r="J537" s="675">
        <f ca="1">IF(AND(J538=I538,J539=I539,J540=I540,J541=I541),I537,0)</f>
        <v>0</v>
      </c>
      <c r="K537" s="497">
        <f t="shared" ref="K537:K543" ca="1" si="235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5"/>
      <c r="D538" s="755"/>
      <c r="E538" s="755" t="s">
        <v>228</v>
      </c>
      <c r="F538" s="755"/>
      <c r="G538" s="189"/>
      <c r="H538" s="617" t="s">
        <v>35</v>
      </c>
      <c r="I538" s="269">
        <f ca="1">IFERROR(__xludf.DUMMYFUNCTION("IMPORTRANGE(""https://docs.google.com/spreadsheets/d/1QqKyyYR6Q21VydFLVH3TRQUabQu_ym0Zz7PgGX0-kHA/edit?usp=sharing"",""แผน!GV82"")"),0)</f>
        <v>0</v>
      </c>
      <c r="J538" s="214">
        <v>0</v>
      </c>
      <c r="K538" s="497">
        <f t="shared" ca="1" si="235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5"/>
      <c r="D539" s="755"/>
      <c r="E539" s="755" t="s">
        <v>229</v>
      </c>
      <c r="F539" s="755"/>
      <c r="G539" s="189"/>
      <c r="H539" s="617" t="s">
        <v>35</v>
      </c>
      <c r="I539" s="269">
        <f ca="1">IFERROR(__xludf.DUMMYFUNCTION("IMPORTRANGE(""https://docs.google.com/spreadsheets/d/1QqKyyYR6Q21VydFLVH3TRQUabQu_ym0Zz7PgGX0-kHA/edit?usp=sharing"",""แผน!GW82"")"),0)</f>
        <v>0</v>
      </c>
      <c r="J539" s="214">
        <v>0</v>
      </c>
      <c r="K539" s="497">
        <f t="shared" ca="1" si="235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5"/>
      <c r="D540" s="755"/>
      <c r="E540" s="755" t="s">
        <v>230</v>
      </c>
      <c r="F540" s="755"/>
      <c r="G540" s="189"/>
      <c r="H540" s="617" t="s">
        <v>35</v>
      </c>
      <c r="I540" s="269">
        <f ca="1">IFERROR(__xludf.DUMMYFUNCTION("IMPORTRANGE(""https://docs.google.com/spreadsheets/d/1QqKyyYR6Q21VydFLVH3TRQUabQu_ym0Zz7PgGX0-kHA/edit?usp=sharing"",""แผน!GX82"")"),0)</f>
        <v>0</v>
      </c>
      <c r="J540" s="214">
        <v>0</v>
      </c>
      <c r="K540" s="497">
        <f t="shared" ca="1" si="235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5"/>
      <c r="D541" s="755"/>
      <c r="E541" s="761" t="s">
        <v>231</v>
      </c>
      <c r="F541" s="755"/>
      <c r="G541" s="189"/>
      <c r="H541" s="617" t="s">
        <v>35</v>
      </c>
      <c r="I541" s="269">
        <f ca="1">IFERROR(__xludf.DUMMYFUNCTION("IMPORTRANGE(""https://docs.google.com/spreadsheets/d/1QqKyyYR6Q21VydFLVH3TRQUabQu_ym0Zz7PgGX0-kHA/edit?usp=sharing"",""แผน!GY82"")"),0)</f>
        <v>0</v>
      </c>
      <c r="J541" s="214">
        <v>0</v>
      </c>
      <c r="K541" s="497">
        <f t="shared" ca="1" si="235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5"/>
      <c r="D542" s="755" t="s">
        <v>59</v>
      </c>
      <c r="E542" s="755"/>
      <c r="F542" s="755"/>
      <c r="G542" s="189"/>
      <c r="H542" s="617" t="s">
        <v>35</v>
      </c>
      <c r="I542" s="269">
        <f ca="1">IFERROR(__xludf.DUMMYFUNCTION("IMPORTRANGE(""https://docs.google.com/spreadsheets/d/1QqKyyYR6Q21VydFLVH3TRQUabQu_ym0Zz7PgGX0-kHA/edit?usp=sharing"",""แผน!GZ82"")"),0)</f>
        <v>0</v>
      </c>
      <c r="J542" s="214">
        <v>0</v>
      </c>
      <c r="K542" s="497">
        <f t="shared" ca="1" si="235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6">I559</f>
        <v>36514</v>
      </c>
      <c r="J543" s="681">
        <f t="shared" si="236"/>
        <v>0</v>
      </c>
      <c r="K543" s="682">
        <f t="shared" ca="1" si="235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65" t="s">
        <v>17</v>
      </c>
      <c r="E544" s="839"/>
      <c r="F544" s="839"/>
      <c r="G544" s="685"/>
      <c r="H544" s="274" t="s">
        <v>12</v>
      </c>
      <c r="I544" s="420"/>
      <c r="J544" s="420"/>
      <c r="K544" s="154"/>
      <c r="L544" s="155">
        <f t="shared" ref="L544:N544" ca="1" si="237">L545+L546</f>
        <v>398925</v>
      </c>
      <c r="M544" s="155">
        <f t="shared" si="237"/>
        <v>0</v>
      </c>
      <c r="N544" s="155">
        <f t="shared" si="237"/>
        <v>32566.57</v>
      </c>
      <c r="O544" s="155">
        <f t="shared" ref="O544:O549" ca="1" si="238">IF(L544&gt;0,N544*100/L544,0)</f>
        <v>8.1635821269662223</v>
      </c>
      <c r="P544" s="155">
        <f t="shared" ref="P544:P549" si="239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1"/>
      <c r="C545" s="751"/>
      <c r="D545" s="751"/>
      <c r="E545" s="751" t="s">
        <v>184</v>
      </c>
      <c r="F545" s="751"/>
      <c r="G545" s="597"/>
      <c r="H545" s="165" t="s">
        <v>12</v>
      </c>
      <c r="I545" s="611"/>
      <c r="J545" s="611"/>
      <c r="K545" s="93"/>
      <c r="L545" s="93">
        <f t="shared" ref="L545:L546" si="240">L548+L556</f>
        <v>0</v>
      </c>
      <c r="M545" s="93">
        <f t="shared" ref="M545:N546" si="241">M548+M555</f>
        <v>0</v>
      </c>
      <c r="N545" s="93">
        <f t="shared" si="241"/>
        <v>0</v>
      </c>
      <c r="O545" s="93">
        <f t="shared" si="238"/>
        <v>0</v>
      </c>
      <c r="P545" s="93">
        <f t="shared" si="239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1"/>
      <c r="D546" s="751"/>
      <c r="E546" s="751" t="s">
        <v>185</v>
      </c>
      <c r="F546" s="751"/>
      <c r="G546" s="597"/>
      <c r="H546" s="165" t="s">
        <v>12</v>
      </c>
      <c r="I546" s="611"/>
      <c r="J546" s="611"/>
      <c r="K546" s="93"/>
      <c r="L546" s="93">
        <f t="shared" ca="1" si="240"/>
        <v>398925</v>
      </c>
      <c r="M546" s="93">
        <f t="shared" si="241"/>
        <v>0</v>
      </c>
      <c r="N546" s="93">
        <f t="shared" si="241"/>
        <v>32566.57</v>
      </c>
      <c r="O546" s="93">
        <f t="shared" ca="1" si="238"/>
        <v>8.1635821269662223</v>
      </c>
      <c r="P546" s="93">
        <f t="shared" si="239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5"/>
      <c r="D547" s="600" t="s">
        <v>20</v>
      </c>
      <c r="E547" s="755"/>
      <c r="F547" s="755"/>
      <c r="G547" s="189"/>
      <c r="H547" s="161" t="s">
        <v>12</v>
      </c>
      <c r="I547" s="184"/>
      <c r="J547" s="184"/>
      <c r="K547" s="163"/>
      <c r="L547" s="497">
        <f t="shared" ref="L547:N547" ca="1" si="242">L548+L549</f>
        <v>398925</v>
      </c>
      <c r="M547" s="497">
        <f t="shared" si="242"/>
        <v>0</v>
      </c>
      <c r="N547" s="497">
        <f t="shared" si="242"/>
        <v>32566.57</v>
      </c>
      <c r="O547" s="497">
        <f t="shared" ca="1" si="238"/>
        <v>8.1635821269662223</v>
      </c>
      <c r="P547" s="497">
        <f t="shared" si="239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1"/>
      <c r="D548" s="712"/>
      <c r="E548" s="751" t="s">
        <v>184</v>
      </c>
      <c r="F548" s="751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8"/>
        <v>0</v>
      </c>
      <c r="P548" s="93">
        <f t="shared" si="239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1"/>
      <c r="D549" s="712"/>
      <c r="E549" s="751" t="s">
        <v>185</v>
      </c>
      <c r="F549" s="751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IFERROR(__xludf.DUMMYFUNCTION("IMPORTRANGE(""https://docs.google.com/spreadsheets/d/1QqKyyYR6Q21VydFLVH3TRQUabQu_ym0Zz7PgGX0-kHA/edit?usp=sharing"",""แผน!HB82"")"),398925)</f>
        <v>398925</v>
      </c>
      <c r="M549" s="93">
        <v>0</v>
      </c>
      <c r="N549" s="93">
        <f>N550+N551+N552+N553+N554</f>
        <v>32566.57</v>
      </c>
      <c r="O549" s="93">
        <f t="shared" ca="1" si="238"/>
        <v>8.1635821269662223</v>
      </c>
      <c r="P549" s="93">
        <f t="shared" si="239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5"/>
      <c r="D550" s="755"/>
      <c r="E550" s="755"/>
      <c r="F550" s="755" t="s">
        <v>186</v>
      </c>
      <c r="G550" s="189"/>
      <c r="H550" s="161" t="s">
        <v>12</v>
      </c>
      <c r="I550" s="269"/>
      <c r="J550" s="269"/>
      <c r="K550" s="497"/>
      <c r="L550" s="497"/>
      <c r="M550" s="497"/>
      <c r="N550" s="818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5"/>
      <c r="F551" s="755" t="s">
        <v>187</v>
      </c>
      <c r="G551" s="189"/>
      <c r="H551" s="161" t="s">
        <v>12</v>
      </c>
      <c r="I551" s="269"/>
      <c r="J551" s="269"/>
      <c r="K551" s="497"/>
      <c r="L551" s="497"/>
      <c r="M551" s="497"/>
      <c r="N551" s="818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5"/>
      <c r="D552" s="755"/>
      <c r="E552" s="755"/>
      <c r="F552" s="755" t="s">
        <v>188</v>
      </c>
      <c r="G552" s="189"/>
      <c r="H552" s="161" t="s">
        <v>12</v>
      </c>
      <c r="I552" s="269"/>
      <c r="J552" s="269"/>
      <c r="K552" s="497"/>
      <c r="L552" s="497"/>
      <c r="M552" s="497"/>
      <c r="N552" s="818">
        <v>12566.57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5"/>
      <c r="F553" s="755" t="s">
        <v>189</v>
      </c>
      <c r="G553" s="189"/>
      <c r="H553" s="161" t="s">
        <v>12</v>
      </c>
      <c r="I553" s="269"/>
      <c r="J553" s="269"/>
      <c r="K553" s="497"/>
      <c r="L553" s="497"/>
      <c r="M553" s="497"/>
      <c r="N553" s="818">
        <v>20000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5"/>
      <c r="F554" s="755" t="s">
        <v>233</v>
      </c>
      <c r="G554" s="189"/>
      <c r="H554" s="161" t="s">
        <v>12</v>
      </c>
      <c r="I554" s="269"/>
      <c r="J554" s="269"/>
      <c r="K554" s="497"/>
      <c r="L554" s="497"/>
      <c r="M554" s="497"/>
      <c r="N554" s="818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5"/>
      <c r="F555" s="755"/>
      <c r="G555" s="189"/>
      <c r="H555" s="168" t="s">
        <v>12</v>
      </c>
      <c r="I555" s="184"/>
      <c r="J555" s="184"/>
      <c r="K555" s="163"/>
      <c r="L555" s="497">
        <f t="shared" ref="L555:N555" ca="1" si="243">L556+L557</f>
        <v>0</v>
      </c>
      <c r="M555" s="497">
        <f t="shared" si="243"/>
        <v>0</v>
      </c>
      <c r="N555" s="497">
        <f t="shared" si="243"/>
        <v>0</v>
      </c>
      <c r="O555" s="497">
        <f t="shared" ref="O555:O557" ca="1" si="244">IF(L555&gt;0,N555*100/L555,0)</f>
        <v>0</v>
      </c>
      <c r="P555" s="497">
        <f t="shared" ref="P555:P557" si="245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1"/>
      <c r="E556" s="751" t="s">
        <v>18</v>
      </c>
      <c r="F556" s="751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4"/>
        <v>0</v>
      </c>
      <c r="P556" s="93">
        <f t="shared" si="245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1"/>
      <c r="E557" s="751" t="s">
        <v>19</v>
      </c>
      <c r="F557" s="751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4"/>
        <v>0</v>
      </c>
      <c r="P557" s="93">
        <f t="shared" si="245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4" t="s">
        <v>38</v>
      </c>
      <c r="E558" s="753"/>
      <c r="F558" s="753"/>
      <c r="G558" s="607"/>
      <c r="H558" s="754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0">
        <f t="shared" ref="I559:J559" ca="1" si="246">I576</f>
        <v>36514</v>
      </c>
      <c r="J559" s="700">
        <f t="shared" si="246"/>
        <v>0</v>
      </c>
      <c r="K559" s="671">
        <f t="shared" ref="K559:K561" ca="1" si="247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4"/>
      <c r="H560" s="759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8">J562+J564+J566</f>
        <v>2594.8000000000002</v>
      </c>
      <c r="K560" s="411">
        <f t="shared" ca="1" si="247"/>
        <v>7.1063153858793893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4"/>
      <c r="H561" s="759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8"/>
        <v>704</v>
      </c>
      <c r="K561" s="411">
        <f t="shared" ca="1" si="247"/>
        <v>9.4853139315548365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4"/>
      <c r="H562" s="756" t="s">
        <v>46</v>
      </c>
      <c r="I562" s="184"/>
      <c r="J562" s="214">
        <v>2529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4"/>
      <c r="H563" s="756" t="s">
        <v>34</v>
      </c>
      <c r="I563" s="184"/>
      <c r="J563" s="214">
        <v>680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4"/>
      <c r="H564" s="756" t="s">
        <v>46</v>
      </c>
      <c r="I564" s="184"/>
      <c r="J564" s="214">
        <v>36.799999999999997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4"/>
      <c r="H565" s="756" t="s">
        <v>34</v>
      </c>
      <c r="I565" s="184"/>
      <c r="J565" s="214">
        <v>13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4"/>
      <c r="H566" s="756" t="s">
        <v>46</v>
      </c>
      <c r="I566" s="184"/>
      <c r="J566" s="214">
        <v>29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4"/>
      <c r="H567" s="756" t="s">
        <v>34</v>
      </c>
      <c r="I567" s="184"/>
      <c r="J567" s="214">
        <v>11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4"/>
      <c r="H568" s="759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75">
        <f t="shared" ref="J568:J569" si="249">J570+J572+J574</f>
        <v>0</v>
      </c>
      <c r="K568" s="411">
        <f t="shared" ref="K568:K569" ca="1" si="250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4"/>
      <c r="H569" s="759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75">
        <f t="shared" si="249"/>
        <v>0</v>
      </c>
      <c r="K569" s="411">
        <f t="shared" ca="1" si="250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4"/>
      <c r="H570" s="756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4"/>
      <c r="H571" s="756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4"/>
      <c r="H572" s="756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4"/>
      <c r="H573" s="756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4"/>
      <c r="H574" s="756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4"/>
      <c r="H575" s="756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4"/>
      <c r="H576" s="759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75">
        <f t="shared" ref="J576:J577" si="251">J578+J580+J582+J588+J590</f>
        <v>0</v>
      </c>
      <c r="K576" s="411">
        <f t="shared" ref="K576:K577" ca="1" si="252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4"/>
      <c r="H577" s="759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75">
        <f t="shared" si="251"/>
        <v>0</v>
      </c>
      <c r="K577" s="411">
        <f t="shared" ca="1" si="252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4"/>
      <c r="H578" s="756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4"/>
      <c r="H579" s="756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4"/>
      <c r="H580" s="756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4"/>
      <c r="H581" s="756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4"/>
      <c r="H582" s="756" t="s">
        <v>46</v>
      </c>
      <c r="I582" s="184"/>
      <c r="J582" s="675">
        <f t="shared" ref="J582:J583" si="253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4"/>
      <c r="H583" s="756" t="s">
        <v>34</v>
      </c>
      <c r="I583" s="184"/>
      <c r="J583" s="675">
        <f t="shared" si="253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4"/>
      <c r="H584" s="756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4"/>
      <c r="H585" s="756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4"/>
      <c r="H586" s="756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4"/>
      <c r="H587" s="756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4"/>
      <c r="H588" s="756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4"/>
      <c r="H589" s="756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4"/>
      <c r="H590" s="756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700">
        <f t="shared" ref="I592:J592" ca="1" si="254">I593</f>
        <v>2942</v>
      </c>
      <c r="J592" s="700">
        <f t="shared" si="254"/>
        <v>0</v>
      </c>
      <c r="K592" s="671">
        <f t="shared" ref="K592:K594" ca="1" si="255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4"/>
      <c r="H593" s="759" t="s">
        <v>46</v>
      </c>
      <c r="I593" s="193">
        <f ca="1">IFERROR(__xludf.DUMMYFUNCTION("IMPORTRANGE(""https://docs.google.com/spreadsheets/d/1QqKyyYR6Q21VydFLVH3TRQUabQu_ym0Zz7PgGX0-kHA/edit?usp=sharing"",""แผน!HJ82"")"),2942)</f>
        <v>2942</v>
      </c>
      <c r="J593" s="193">
        <f t="shared" ref="J593:J594" si="256">J595+J603+J609</f>
        <v>0</v>
      </c>
      <c r="K593" s="411">
        <f t="shared" ca="1" si="255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4"/>
      <c r="H594" s="759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6"/>
        <v>0</v>
      </c>
      <c r="K594" s="411">
        <f t="shared" ca="1" si="255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4"/>
      <c r="H595" s="756" t="s">
        <v>46</v>
      </c>
      <c r="I595" s="184"/>
      <c r="J595" s="184">
        <f t="shared" ref="J595:J596" si="257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4"/>
      <c r="H596" s="756" t="s">
        <v>34</v>
      </c>
      <c r="I596" s="184"/>
      <c r="J596" s="184">
        <f t="shared" si="257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38" t="s">
        <v>254</v>
      </c>
      <c r="E597" s="620"/>
      <c r="F597" s="620"/>
      <c r="G597" s="754"/>
      <c r="H597" s="756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4"/>
      <c r="H598" s="756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38" t="s">
        <v>255</v>
      </c>
      <c r="E599" s="620"/>
      <c r="F599" s="620"/>
      <c r="G599" s="754"/>
      <c r="H599" s="756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4"/>
      <c r="H600" s="756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38" t="s">
        <v>256</v>
      </c>
      <c r="E601" s="620"/>
      <c r="F601" s="620"/>
      <c r="G601" s="754"/>
      <c r="H601" s="756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4"/>
      <c r="H602" s="756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7" t="s">
        <v>257</v>
      </c>
      <c r="D603" s="612"/>
      <c r="E603" s="612"/>
      <c r="F603" s="620"/>
      <c r="G603" s="754"/>
      <c r="H603" s="756" t="s">
        <v>46</v>
      </c>
      <c r="I603" s="269"/>
      <c r="J603" s="269">
        <f t="shared" ref="J603:J604" si="258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4"/>
      <c r="H604" s="756" t="s">
        <v>34</v>
      </c>
      <c r="I604" s="269"/>
      <c r="J604" s="269">
        <f t="shared" si="258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7" t="s">
        <v>258</v>
      </c>
      <c r="E605" s="620"/>
      <c r="F605" s="620"/>
      <c r="G605" s="754"/>
      <c r="H605" s="756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4"/>
      <c r="H606" s="756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7" t="s">
        <v>259</v>
      </c>
      <c r="E607" s="612"/>
      <c r="F607" s="620"/>
      <c r="G607" s="754"/>
      <c r="H607" s="756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4"/>
      <c r="H608" s="756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4"/>
      <c r="H609" s="756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4"/>
      <c r="H610" s="756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698" t="s">
        <v>261</v>
      </c>
      <c r="C611" s="688"/>
      <c r="D611" s="688"/>
      <c r="E611" s="667"/>
      <c r="F611" s="667"/>
      <c r="G611" s="668"/>
      <c r="H611" s="699" t="s">
        <v>46</v>
      </c>
      <c r="I611" s="700">
        <v>0</v>
      </c>
      <c r="J611" s="700">
        <f>J614+J616</f>
        <v>0</v>
      </c>
      <c r="K611" s="671">
        <f t="shared" ref="K611:K613" si="259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1"/>
      <c r="B612" s="711"/>
      <c r="C612" s="703" t="s">
        <v>262</v>
      </c>
      <c r="D612" s="711"/>
      <c r="E612" s="711"/>
      <c r="F612" s="704"/>
      <c r="G612" s="705"/>
      <c r="H612" s="706" t="s">
        <v>46</v>
      </c>
      <c r="I612" s="708">
        <v>0</v>
      </c>
      <c r="J612" s="708">
        <f t="shared" ref="J612:J613" si="260">J614+J616</f>
        <v>0</v>
      </c>
      <c r="K612" s="709">
        <f t="shared" si="259"/>
        <v>0</v>
      </c>
      <c r="L612" s="710"/>
      <c r="M612" s="710"/>
      <c r="N612" s="710"/>
      <c r="O612" s="710"/>
      <c r="P612" s="710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1"/>
      <c r="B613" s="711"/>
      <c r="C613" s="711" t="s">
        <v>263</v>
      </c>
      <c r="D613" s="711"/>
      <c r="E613" s="711"/>
      <c r="F613" s="704"/>
      <c r="G613" s="705"/>
      <c r="H613" s="706" t="s">
        <v>34</v>
      </c>
      <c r="I613" s="708">
        <v>0</v>
      </c>
      <c r="J613" s="708">
        <f t="shared" si="260"/>
        <v>0</v>
      </c>
      <c r="K613" s="709">
        <f t="shared" si="259"/>
        <v>0</v>
      </c>
      <c r="L613" s="710"/>
      <c r="M613" s="710"/>
      <c r="N613" s="710"/>
      <c r="O613" s="710"/>
      <c r="P613" s="710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2" t="s">
        <v>264</v>
      </c>
      <c r="E614" s="610"/>
      <c r="F614" s="712"/>
      <c r="G614" s="365"/>
      <c r="H614" s="369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2"/>
      <c r="G615" s="365"/>
      <c r="H615" s="369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3" t="s">
        <v>264</v>
      </c>
      <c r="E616" s="712"/>
      <c r="F616" s="712"/>
      <c r="G616" s="365"/>
      <c r="H616" s="369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2"/>
      <c r="F617" s="712"/>
      <c r="G617" s="365"/>
      <c r="H617" s="369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3" t="s">
        <v>265</v>
      </c>
      <c r="E618" s="712"/>
      <c r="F618" s="712"/>
      <c r="G618" s="365"/>
      <c r="H618" s="369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2"/>
      <c r="F619" s="712"/>
      <c r="G619" s="365"/>
      <c r="H619" s="369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4"/>
      <c r="B620" s="723"/>
      <c r="C620" s="716" t="s">
        <v>266</v>
      </c>
      <c r="D620" s="723"/>
      <c r="E620" s="723"/>
      <c r="F620" s="717"/>
      <c r="G620" s="718"/>
      <c r="H620" s="719" t="s">
        <v>46</v>
      </c>
      <c r="I620" s="720">
        <f ca="1">IFERROR(__xludf.DUMMYFUNCTION("IMPORTRANGE(""https://docs.google.com/spreadsheets/d/1QqKyyYR6Q21VydFLVH3TRQUabQu_ym0Zz7PgGX0-kHA/edit?usp=sharing"",""แผน!HL82"")"),0)</f>
        <v>0</v>
      </c>
      <c r="J620" s="720">
        <f t="shared" ref="J620:J621" si="261">J622+J624+J626</f>
        <v>0</v>
      </c>
      <c r="K620" s="721">
        <f t="shared" ref="K620:K621" ca="1" si="262">IF(I620&gt;0,J620*100/I620,0)</f>
        <v>0</v>
      </c>
      <c r="L620" s="722"/>
      <c r="M620" s="722"/>
      <c r="N620" s="722"/>
      <c r="O620" s="722"/>
      <c r="P620" s="722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4"/>
      <c r="B621" s="723"/>
      <c r="C621" s="723" t="s">
        <v>267</v>
      </c>
      <c r="D621" s="723"/>
      <c r="E621" s="723"/>
      <c r="F621" s="717"/>
      <c r="G621" s="718"/>
      <c r="H621" s="719" t="s">
        <v>34</v>
      </c>
      <c r="I621" s="720">
        <f ca="1">IFERROR(__xludf.DUMMYFUNCTION("IMPORTRANGE(""https://docs.google.com/spreadsheets/d/1QqKyyYR6Q21VydFLVH3TRQUabQu_ym0Zz7PgGX0-kHA/edit?usp=sharing"",""แผน!HK82"")"),0)</f>
        <v>0</v>
      </c>
      <c r="J621" s="720">
        <f t="shared" si="261"/>
        <v>0</v>
      </c>
      <c r="K621" s="721">
        <f t="shared" ca="1" si="262"/>
        <v>0</v>
      </c>
      <c r="L621" s="722"/>
      <c r="M621" s="722"/>
      <c r="N621" s="722"/>
      <c r="O621" s="722"/>
      <c r="P621" s="722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38" t="s">
        <v>268</v>
      </c>
      <c r="E622" s="620"/>
      <c r="F622" s="620"/>
      <c r="G622" s="754"/>
      <c r="H622" s="756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4"/>
      <c r="H623" s="756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38" t="s">
        <v>264</v>
      </c>
      <c r="E624" s="620"/>
      <c r="F624" s="620"/>
      <c r="G624" s="754"/>
      <c r="H624" s="756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4"/>
      <c r="H625" s="756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38" t="s">
        <v>269</v>
      </c>
      <c r="E626" s="620"/>
      <c r="F626" s="620"/>
      <c r="G626" s="754"/>
      <c r="H626" s="756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4"/>
      <c r="B627" s="725"/>
      <c r="C627" s="725"/>
      <c r="D627" s="725"/>
      <c r="E627" s="726"/>
      <c r="F627" s="726"/>
      <c r="G627" s="727"/>
      <c r="H627" s="422" t="s">
        <v>34</v>
      </c>
      <c r="I627" s="500"/>
      <c r="J627" s="424">
        <v>0</v>
      </c>
      <c r="K627" s="384"/>
      <c r="L627" s="384"/>
      <c r="M627" s="384"/>
      <c r="N627" s="384"/>
      <c r="O627" s="384"/>
      <c r="P627" s="384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28">
        <v>7</v>
      </c>
      <c r="B628" s="729" t="s">
        <v>270</v>
      </c>
      <c r="C628" s="730"/>
      <c r="D628" s="730"/>
      <c r="E628" s="730"/>
      <c r="F628" s="730"/>
      <c r="G628" s="731"/>
      <c r="H628" s="732" t="s">
        <v>35</v>
      </c>
      <c r="I628" s="733">
        <f t="shared" ref="I628:J628" ca="1" si="263">I651</f>
        <v>0</v>
      </c>
      <c r="J628" s="733">
        <f t="shared" ca="1" si="263"/>
        <v>0</v>
      </c>
      <c r="K628" s="734">
        <f ca="1">IF(I628&gt;0,J628*100/I628,0)</f>
        <v>0</v>
      </c>
      <c r="L628" s="735"/>
      <c r="M628" s="735"/>
      <c r="N628" s="735"/>
      <c r="O628" s="735"/>
      <c r="P628" s="735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5"/>
      <c r="C629" s="755" t="s">
        <v>16</v>
      </c>
      <c r="D629" s="840" t="s">
        <v>17</v>
      </c>
      <c r="E629" s="834"/>
      <c r="F629" s="834"/>
      <c r="G629" s="189"/>
      <c r="H629" s="592" t="s">
        <v>12</v>
      </c>
      <c r="I629" s="269"/>
      <c r="J629" s="269"/>
      <c r="K629" s="497"/>
      <c r="L629" s="195">
        <f t="shared" ref="L629:N629" ca="1" si="264">L630+L631</f>
        <v>0</v>
      </c>
      <c r="M629" s="195">
        <f t="shared" si="264"/>
        <v>0</v>
      </c>
      <c r="N629" s="195">
        <f t="shared" si="264"/>
        <v>0</v>
      </c>
      <c r="O629" s="195">
        <f t="shared" ref="O629:O634" ca="1" si="265">IF(L629&gt;0,N629*100/L629,0)</f>
        <v>0</v>
      </c>
      <c r="P629" s="195">
        <f t="shared" ref="P629:P634" si="266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1"/>
      <c r="C630" s="751"/>
      <c r="D630" s="712"/>
      <c r="E630" s="751" t="s">
        <v>184</v>
      </c>
      <c r="F630" s="751"/>
      <c r="G630" s="597"/>
      <c r="H630" s="165" t="s">
        <v>12</v>
      </c>
      <c r="I630" s="611"/>
      <c r="J630" s="611"/>
      <c r="K630" s="93"/>
      <c r="L630" s="93">
        <f t="shared" ref="L630:N631" si="267">L633+L640</f>
        <v>0</v>
      </c>
      <c r="M630" s="93">
        <f t="shared" si="267"/>
        <v>0</v>
      </c>
      <c r="N630" s="93">
        <f t="shared" si="267"/>
        <v>0</v>
      </c>
      <c r="O630" s="93">
        <f t="shared" si="265"/>
        <v>0</v>
      </c>
      <c r="P630" s="93">
        <f t="shared" si="266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1"/>
      <c r="D631" s="712"/>
      <c r="E631" s="751" t="s">
        <v>185</v>
      </c>
      <c r="F631" s="751"/>
      <c r="G631" s="597"/>
      <c r="H631" s="165" t="s">
        <v>12</v>
      </c>
      <c r="I631" s="611"/>
      <c r="J631" s="611"/>
      <c r="K631" s="93"/>
      <c r="L631" s="93">
        <f t="shared" ca="1" si="267"/>
        <v>0</v>
      </c>
      <c r="M631" s="93">
        <f t="shared" si="267"/>
        <v>0</v>
      </c>
      <c r="N631" s="93">
        <f t="shared" si="267"/>
        <v>0</v>
      </c>
      <c r="O631" s="93">
        <f t="shared" ca="1" si="265"/>
        <v>0</v>
      </c>
      <c r="P631" s="93">
        <f t="shared" si="266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5"/>
      <c r="D632" s="600" t="s">
        <v>20</v>
      </c>
      <c r="E632" s="755"/>
      <c r="F632" s="755"/>
      <c r="G632" s="189"/>
      <c r="H632" s="161" t="s">
        <v>12</v>
      </c>
      <c r="I632" s="184"/>
      <c r="J632" s="184"/>
      <c r="K632" s="163"/>
      <c r="L632" s="497">
        <f t="shared" ref="L632:N632" ca="1" si="268">L633+L634</f>
        <v>0</v>
      </c>
      <c r="M632" s="497">
        <f t="shared" si="268"/>
        <v>0</v>
      </c>
      <c r="N632" s="497">
        <f t="shared" si="268"/>
        <v>0</v>
      </c>
      <c r="O632" s="497">
        <f t="shared" ca="1" si="265"/>
        <v>0</v>
      </c>
      <c r="P632" s="497">
        <f t="shared" si="266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1"/>
      <c r="D633" s="712"/>
      <c r="E633" s="751" t="s">
        <v>184</v>
      </c>
      <c r="F633" s="751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5"/>
        <v>0</v>
      </c>
      <c r="P633" s="93">
        <f t="shared" si="266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1"/>
      <c r="D634" s="712"/>
      <c r="E634" s="751" t="s">
        <v>185</v>
      </c>
      <c r="F634" s="751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5"/>
        <v>0</v>
      </c>
      <c r="P634" s="93">
        <f t="shared" si="266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5"/>
      <c r="D635" s="755"/>
      <c r="E635" s="755"/>
      <c r="F635" s="755" t="s">
        <v>186</v>
      </c>
      <c r="G635" s="189"/>
      <c r="H635" s="161" t="s">
        <v>12</v>
      </c>
      <c r="I635" s="269"/>
      <c r="J635" s="269"/>
      <c r="K635" s="497"/>
      <c r="L635" s="497"/>
      <c r="M635" s="497"/>
      <c r="N635" s="818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5"/>
      <c r="D636" s="755"/>
      <c r="E636" s="755"/>
      <c r="F636" s="755" t="s">
        <v>187</v>
      </c>
      <c r="G636" s="189"/>
      <c r="H636" s="161" t="s">
        <v>12</v>
      </c>
      <c r="I636" s="269"/>
      <c r="J636" s="269"/>
      <c r="K636" s="497"/>
      <c r="L636" s="497"/>
      <c r="M636" s="497"/>
      <c r="N636" s="818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5"/>
      <c r="D637" s="755"/>
      <c r="E637" s="755"/>
      <c r="F637" s="755" t="s">
        <v>188</v>
      </c>
      <c r="G637" s="189"/>
      <c r="H637" s="161" t="s">
        <v>12</v>
      </c>
      <c r="I637" s="269"/>
      <c r="J637" s="269"/>
      <c r="K637" s="497"/>
      <c r="L637" s="497"/>
      <c r="M637" s="497"/>
      <c r="N637" s="818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5"/>
      <c r="D638" s="755"/>
      <c r="E638" s="755"/>
      <c r="F638" s="755" t="s">
        <v>189</v>
      </c>
      <c r="G638" s="189"/>
      <c r="H638" s="161" t="s">
        <v>12</v>
      </c>
      <c r="I638" s="269"/>
      <c r="J638" s="269"/>
      <c r="K638" s="497"/>
      <c r="L638" s="497"/>
      <c r="M638" s="497"/>
      <c r="N638" s="818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5"/>
      <c r="D639" s="600" t="s">
        <v>21</v>
      </c>
      <c r="E639" s="755"/>
      <c r="F639" s="755"/>
      <c r="G639" s="189"/>
      <c r="H639" s="168" t="s">
        <v>12</v>
      </c>
      <c r="I639" s="184"/>
      <c r="J639" s="184"/>
      <c r="K639" s="163"/>
      <c r="L639" s="497">
        <f t="shared" ref="L639:N639" ca="1" si="269">L640+L641</f>
        <v>0</v>
      </c>
      <c r="M639" s="497">
        <f t="shared" si="269"/>
        <v>0</v>
      </c>
      <c r="N639" s="497">
        <f t="shared" si="269"/>
        <v>0</v>
      </c>
      <c r="O639" s="497">
        <f t="shared" ref="O639:O641" ca="1" si="270">IF(L639&gt;0,N639*100/L639,0)</f>
        <v>0</v>
      </c>
      <c r="P639" s="497">
        <f t="shared" ref="P639:P641" si="271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1"/>
      <c r="D640" s="751"/>
      <c r="E640" s="751" t="s">
        <v>18</v>
      </c>
      <c r="F640" s="751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70"/>
        <v>0</v>
      </c>
      <c r="P640" s="93">
        <f t="shared" si="271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1"/>
      <c r="D641" s="751"/>
      <c r="E641" s="751" t="s">
        <v>19</v>
      </c>
      <c r="F641" s="751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70"/>
        <v>0</v>
      </c>
      <c r="P641" s="93">
        <f t="shared" si="271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5" t="s">
        <v>16</v>
      </c>
      <c r="D642" s="864" t="s">
        <v>38</v>
      </c>
      <c r="E642" s="753"/>
      <c r="F642" s="753"/>
      <c r="G642" s="607"/>
      <c r="H642" s="754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6"/>
      <c r="B643" s="569"/>
      <c r="C643" s="755"/>
      <c r="D643" s="620"/>
      <c r="E643" s="738" t="s">
        <v>271</v>
      </c>
      <c r="F643" s="620"/>
      <c r="G643" s="754"/>
      <c r="H643" s="756" t="s">
        <v>272</v>
      </c>
      <c r="I643" s="269">
        <f ca="1">IFERROR(__xludf.DUMMYFUNCTION("IMPORTRANGE(""https://docs.google.com/spreadsheets/d/1QqKyyYR6Q21VydFLVH3TRQUabQu_ym0Zz7PgGX0-kHA/edit?usp=sharing"",""แผน!HR82"")"),0)</f>
        <v>0</v>
      </c>
      <c r="J643" s="214">
        <v>0</v>
      </c>
      <c r="K643" s="163">
        <f t="shared" ref="K643:K652" ca="1" si="272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6"/>
      <c r="B644" s="569"/>
      <c r="C644" s="755"/>
      <c r="D644" s="620"/>
      <c r="E644" s="738" t="s">
        <v>273</v>
      </c>
      <c r="F644" s="620"/>
      <c r="G644" s="754"/>
      <c r="H644" s="756" t="s">
        <v>274</v>
      </c>
      <c r="I644" s="269">
        <f ca="1">IFERROR(__xludf.DUMMYFUNCTION("IMPORTRANGE(""https://docs.google.com/spreadsheets/d/1QqKyyYR6Q21VydFLVH3TRQUabQu_ym0Zz7PgGX0-kHA/edit?usp=sharing"",""แผน!HR82"")"),0)</f>
        <v>0</v>
      </c>
      <c r="J644" s="214">
        <v>0</v>
      </c>
      <c r="K644" s="163">
        <f t="shared" ca="1" si="272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6"/>
      <c r="B645" s="569"/>
      <c r="C645" s="755"/>
      <c r="D645" s="620"/>
      <c r="E645" s="738" t="s">
        <v>275</v>
      </c>
      <c r="F645" s="620"/>
      <c r="G645" s="754"/>
      <c r="H645" s="756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2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6"/>
      <c r="B646" s="569"/>
      <c r="C646" s="755"/>
      <c r="D646" s="620"/>
      <c r="E646" s="620"/>
      <c r="F646" s="620"/>
      <c r="G646" s="754"/>
      <c r="H646" s="756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IFERROR(__xludf.DUMMYFUNCTION("IMPORTRANGE(""https://docs.google.com/spreadsheets/d/1XWAQStnk-4SwqDmLtmXYiTMKHgktTP8We1SCoS47DrQ/edit?usp=sharing"",""จัดที่ดิน!AT82"")"),0)</f>
        <v>0</v>
      </c>
      <c r="K646" s="497">
        <f t="shared" si="272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6"/>
      <c r="B647" s="569"/>
      <c r="C647" s="755"/>
      <c r="D647" s="620"/>
      <c r="E647" s="738" t="s">
        <v>162</v>
      </c>
      <c r="F647" s="620"/>
      <c r="G647" s="754"/>
      <c r="H647" s="756" t="s">
        <v>35</v>
      </c>
      <c r="I647" s="269">
        <f ca="1">IFERROR(__xludf.DUMMYFUNCTION("IMPORTRANGE(""https://docs.google.com/spreadsheets/d/1QqKyyYR6Q21VydFLVH3TRQUabQu_ym0Zz7PgGX0-kHA/edit?usp=sharing"",""แผน!HS82"")"),0)</f>
        <v>0</v>
      </c>
      <c r="J647" s="269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2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6"/>
      <c r="B648" s="569"/>
      <c r="C648" s="755"/>
      <c r="D648" s="620"/>
      <c r="E648" s="620"/>
      <c r="F648" s="620"/>
      <c r="G648" s="754"/>
      <c r="H648" s="756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IFERROR(__xludf.DUMMYFUNCTION("IMPORTRANGE(""https://docs.google.com/spreadsheets/d/1XWAQStnk-4SwqDmLtmXYiTMKHgktTP8We1SCoS47DrQ/edit?usp=sharing"",""จัดที่ดิน!AV82"")"),0)</f>
        <v>0</v>
      </c>
      <c r="K648" s="497">
        <f t="shared" si="272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6"/>
      <c r="B649" s="569"/>
      <c r="C649" s="755"/>
      <c r="D649" s="620"/>
      <c r="E649" s="738" t="s">
        <v>276</v>
      </c>
      <c r="F649" s="620"/>
      <c r="G649" s="754"/>
      <c r="H649" s="756" t="s">
        <v>35</v>
      </c>
      <c r="I649" s="269">
        <f ca="1">IFERROR(__xludf.DUMMYFUNCTION("IMPORTRANGE(""https://docs.google.com/spreadsheets/d/1QqKyyYR6Q21VydFLVH3TRQUabQu_ym0Zz7PgGX0-kHA/edit?usp=sharing"",""แผน!HS82"")"),0)</f>
        <v>0</v>
      </c>
      <c r="J649" s="269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2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6"/>
      <c r="B650" s="569"/>
      <c r="C650" s="755"/>
      <c r="D650" s="620"/>
      <c r="E650" s="620"/>
      <c r="F650" s="620"/>
      <c r="G650" s="754"/>
      <c r="H650" s="756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IFERROR(__xludf.DUMMYFUNCTION("IMPORTRANGE(""https://docs.google.com/spreadsheets/d/1XWAQStnk-4SwqDmLtmXYiTMKHgktTP8We1SCoS47DrQ/edit?usp=sharing"",""จัดที่ดิน!AX82"")"),0)</f>
        <v>0</v>
      </c>
      <c r="K650" s="497">
        <f t="shared" si="272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6"/>
      <c r="B651" s="569"/>
      <c r="C651" s="755"/>
      <c r="D651" s="620"/>
      <c r="E651" s="738" t="s">
        <v>277</v>
      </c>
      <c r="F651" s="620"/>
      <c r="G651" s="754"/>
      <c r="H651" s="756" t="s">
        <v>35</v>
      </c>
      <c r="I651" s="269">
        <f ca="1">IFERROR(__xludf.DUMMYFUNCTION("IMPORTRANGE(""https://docs.google.com/spreadsheets/d/1QqKyyYR6Q21VydFLVH3TRQUabQu_ym0Zz7PgGX0-kHA/edit?usp=sharing"",""แผน!HS82"")"),0)</f>
        <v>0</v>
      </c>
      <c r="J651" s="269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2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39"/>
      <c r="B652" s="740"/>
      <c r="C652" s="741"/>
      <c r="D652" s="726"/>
      <c r="E652" s="726"/>
      <c r="F652" s="726"/>
      <c r="G652" s="727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IFERROR(__xludf.DUMMYFUNCTION("IMPORTRANGE(""https://docs.google.com/spreadsheets/d/1XWAQStnk-4SwqDmLtmXYiTMKHgktTP8We1SCoS47DrQ/edit?usp=sharing"",""จัดที่ดิน!AZ82"")"),0)</f>
        <v>0</v>
      </c>
      <c r="K652" s="501">
        <f t="shared" si="272"/>
        <v>0</v>
      </c>
      <c r="L652" s="384"/>
      <c r="M652" s="384"/>
      <c r="N652" s="384"/>
      <c r="O652" s="384"/>
      <c r="P652" s="384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2">
        <v>8</v>
      </c>
      <c r="B653" s="729" t="s">
        <v>278</v>
      </c>
      <c r="C653" s="730"/>
      <c r="D653" s="730"/>
      <c r="E653" s="730"/>
      <c r="F653" s="730"/>
      <c r="G653" s="731"/>
      <c r="H653" s="731"/>
      <c r="I653" s="743"/>
      <c r="J653" s="743"/>
      <c r="K653" s="735"/>
      <c r="L653" s="735"/>
      <c r="M653" s="735"/>
      <c r="N653" s="735"/>
      <c r="O653" s="735"/>
      <c r="P653" s="735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699" t="s">
        <v>46</v>
      </c>
      <c r="I654" s="700">
        <f t="shared" ref="I654:J654" ca="1" si="273">I669</f>
        <v>50</v>
      </c>
      <c r="J654" s="700">
        <f t="shared" si="273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5"/>
      <c r="C655" s="755" t="s">
        <v>16</v>
      </c>
      <c r="D655" s="840" t="s">
        <v>17</v>
      </c>
      <c r="E655" s="834"/>
      <c r="F655" s="834"/>
      <c r="G655" s="189"/>
      <c r="H655" s="592" t="s">
        <v>12</v>
      </c>
      <c r="I655" s="269"/>
      <c r="J655" s="269"/>
      <c r="K655" s="497"/>
      <c r="L655" s="195">
        <f t="shared" ref="L655:N655" ca="1" si="274">L656+L657</f>
        <v>11000</v>
      </c>
      <c r="M655" s="195">
        <f t="shared" si="274"/>
        <v>0</v>
      </c>
      <c r="N655" s="195">
        <f t="shared" si="274"/>
        <v>4240.3999999999996</v>
      </c>
      <c r="O655" s="195">
        <f t="shared" ref="O655:O660" ca="1" si="275">IF(L655&gt;0,N655*100/L655,0)</f>
        <v>38.549090909090907</v>
      </c>
      <c r="P655" s="195">
        <f t="shared" ref="P655:P660" si="276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1"/>
      <c r="C656" s="751"/>
      <c r="D656" s="712"/>
      <c r="E656" s="751" t="s">
        <v>184</v>
      </c>
      <c r="F656" s="751"/>
      <c r="G656" s="597"/>
      <c r="H656" s="165" t="s">
        <v>12</v>
      </c>
      <c r="I656" s="611"/>
      <c r="J656" s="611"/>
      <c r="K656" s="93"/>
      <c r="L656" s="93">
        <f t="shared" ref="L656:N657" si="277">L659+L666</f>
        <v>0</v>
      </c>
      <c r="M656" s="93">
        <f t="shared" si="277"/>
        <v>0</v>
      </c>
      <c r="N656" s="93">
        <f t="shared" si="277"/>
        <v>0</v>
      </c>
      <c r="O656" s="93">
        <f t="shared" si="275"/>
        <v>0</v>
      </c>
      <c r="P656" s="93">
        <f t="shared" si="276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1"/>
      <c r="D657" s="712"/>
      <c r="E657" s="751" t="s">
        <v>185</v>
      </c>
      <c r="F657" s="751"/>
      <c r="G657" s="597"/>
      <c r="H657" s="165" t="s">
        <v>12</v>
      </c>
      <c r="I657" s="611"/>
      <c r="J657" s="611"/>
      <c r="K657" s="93"/>
      <c r="L657" s="93">
        <f t="shared" ca="1" si="277"/>
        <v>11000</v>
      </c>
      <c r="M657" s="93">
        <f t="shared" si="277"/>
        <v>0</v>
      </c>
      <c r="N657" s="93">
        <f t="shared" si="277"/>
        <v>4240.3999999999996</v>
      </c>
      <c r="O657" s="93">
        <f t="shared" ca="1" si="275"/>
        <v>38.549090909090907</v>
      </c>
      <c r="P657" s="93">
        <f t="shared" si="276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5"/>
      <c r="D658" s="600" t="s">
        <v>20</v>
      </c>
      <c r="E658" s="755"/>
      <c r="F658" s="755"/>
      <c r="G658" s="189"/>
      <c r="H658" s="161" t="s">
        <v>12</v>
      </c>
      <c r="I658" s="184"/>
      <c r="J658" s="184"/>
      <c r="K658" s="163"/>
      <c r="L658" s="497">
        <f t="shared" ref="L658:N658" ca="1" si="278">L659+L660</f>
        <v>11000</v>
      </c>
      <c r="M658" s="497">
        <f t="shared" si="278"/>
        <v>0</v>
      </c>
      <c r="N658" s="497">
        <f t="shared" si="278"/>
        <v>4240.3999999999996</v>
      </c>
      <c r="O658" s="497">
        <f t="shared" ca="1" si="275"/>
        <v>38.549090909090907</v>
      </c>
      <c r="P658" s="497">
        <f t="shared" si="276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1"/>
      <c r="D659" s="712"/>
      <c r="E659" s="751" t="s">
        <v>184</v>
      </c>
      <c r="F659" s="751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5"/>
        <v>0</v>
      </c>
      <c r="P659" s="93">
        <f t="shared" si="276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1"/>
      <c r="D660" s="712"/>
      <c r="E660" s="751" t="s">
        <v>185</v>
      </c>
      <c r="F660" s="751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v>0</v>
      </c>
      <c r="N660" s="93">
        <f>N661+N662+N663+N664</f>
        <v>4240.3999999999996</v>
      </c>
      <c r="O660" s="93">
        <f t="shared" ca="1" si="275"/>
        <v>38.549090909090907</v>
      </c>
      <c r="P660" s="93">
        <f t="shared" si="276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5"/>
      <c r="D661" s="755"/>
      <c r="E661" s="755"/>
      <c r="F661" s="755" t="s">
        <v>186</v>
      </c>
      <c r="G661" s="189"/>
      <c r="H661" s="161" t="s">
        <v>12</v>
      </c>
      <c r="I661" s="269"/>
      <c r="J661" s="269"/>
      <c r="K661" s="497"/>
      <c r="L661" s="497"/>
      <c r="M661" s="497"/>
      <c r="N661" s="818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5"/>
      <c r="D662" s="755"/>
      <c r="E662" s="755"/>
      <c r="F662" s="755" t="s">
        <v>187</v>
      </c>
      <c r="G662" s="189"/>
      <c r="H662" s="161" t="s">
        <v>12</v>
      </c>
      <c r="I662" s="269"/>
      <c r="J662" s="269"/>
      <c r="K662" s="497"/>
      <c r="L662" s="497"/>
      <c r="M662" s="497"/>
      <c r="N662" s="818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5"/>
      <c r="E663" s="755"/>
      <c r="F663" s="755" t="s">
        <v>188</v>
      </c>
      <c r="G663" s="189"/>
      <c r="H663" s="161" t="s">
        <v>12</v>
      </c>
      <c r="I663" s="269"/>
      <c r="J663" s="269"/>
      <c r="K663" s="497"/>
      <c r="L663" s="497"/>
      <c r="M663" s="497"/>
      <c r="N663" s="818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5"/>
      <c r="F664" s="755" t="s">
        <v>189</v>
      </c>
      <c r="G664" s="189"/>
      <c r="H664" s="161" t="s">
        <v>12</v>
      </c>
      <c r="I664" s="269"/>
      <c r="J664" s="269"/>
      <c r="K664" s="497"/>
      <c r="L664" s="497"/>
      <c r="M664" s="497"/>
      <c r="N664" s="818">
        <v>4240.3999999999996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5"/>
      <c r="F665" s="755"/>
      <c r="G665" s="189"/>
      <c r="H665" s="168" t="s">
        <v>12</v>
      </c>
      <c r="I665" s="184"/>
      <c r="J665" s="184"/>
      <c r="K665" s="163"/>
      <c r="L665" s="497">
        <f t="shared" ref="L665:N665" si="279">L666+L667</f>
        <v>0</v>
      </c>
      <c r="M665" s="497">
        <f t="shared" si="279"/>
        <v>0</v>
      </c>
      <c r="N665" s="497">
        <f t="shared" si="279"/>
        <v>0</v>
      </c>
      <c r="O665" s="497">
        <f t="shared" ref="O665:O667" si="280">IF(L665&gt;0,N665*100/L665,0)</f>
        <v>0</v>
      </c>
      <c r="P665" s="497">
        <f t="shared" ref="P665:P667" si="281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1" t="s">
        <v>18</v>
      </c>
      <c r="F666" s="751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80"/>
        <v>0</v>
      </c>
      <c r="P666" s="93">
        <f t="shared" si="281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1" t="s">
        <v>19</v>
      </c>
      <c r="F667" s="751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80"/>
        <v>0</v>
      </c>
      <c r="P667" s="93">
        <f t="shared" si="281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1" t="s">
        <v>38</v>
      </c>
      <c r="E668" s="753"/>
      <c r="F668" s="753"/>
      <c r="G668" s="607"/>
      <c r="H668" s="754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4"/>
      <c r="H669" s="759" t="s">
        <v>46</v>
      </c>
      <c r="I669" s="675">
        <f ca="1">IFERROR(__xludf.DUMMYFUNCTION("IMPORTRANGE(""https://docs.google.com/spreadsheets/d/1QqKyyYR6Q21VydFLVH3TRQUabQu_ym0Zz7PgGX0-kHA/edit?usp=sharing"",""แผน!IA82"")"),50)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4"/>
      <c r="H670" s="756" t="s">
        <v>69</v>
      </c>
      <c r="I670" s="269">
        <f ca="1">IFERROR(__xludf.DUMMYFUNCTION("IMPORTRANGE(""https://docs.google.com/spreadsheets/d/1QqKyyYR6Q21VydFLVH3TRQUabQu_ym0Zz7PgGX0-kHA/edit?usp=sharing"",""แผน!HZ82"")"),5)</f>
        <v>5</v>
      </c>
      <c r="J670" s="214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4"/>
      <c r="H671" s="756" t="s">
        <v>69</v>
      </c>
      <c r="I671" s="269">
        <f ca="1">IFERROR(__xludf.DUMMYFUNCTION("IMPORTRANGE(""https://docs.google.com/spreadsheets/d/1QqKyyYR6Q21VydFLVH3TRQUabQu_ym0Zz7PgGX0-kHA/edit?usp=sharing"",""แผน!HZ82"")"),5)</f>
        <v>5</v>
      </c>
      <c r="J671" s="214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4"/>
      <c r="H672" s="756" t="s">
        <v>46</v>
      </c>
      <c r="I672" s="269"/>
      <c r="J672" s="214">
        <v>0</v>
      </c>
      <c r="K672" s="497">
        <f t="shared" ref="K672:K675" ca="1" si="282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4"/>
      <c r="H673" s="756" t="s">
        <v>46</v>
      </c>
      <c r="I673" s="269"/>
      <c r="J673" s="214">
        <v>0</v>
      </c>
      <c r="K673" s="497">
        <f t="shared" ca="1" si="282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4"/>
      <c r="H674" s="756" t="s">
        <v>46</v>
      </c>
      <c r="I674" s="269"/>
      <c r="J674" s="214">
        <v>0</v>
      </c>
      <c r="K674" s="497">
        <f t="shared" ca="1" si="282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4"/>
      <c r="H675" s="756" t="s">
        <v>46</v>
      </c>
      <c r="I675" s="269"/>
      <c r="J675" s="675">
        <f>J676+J677</f>
        <v>0</v>
      </c>
      <c r="K675" s="195">
        <f t="shared" ca="1" si="282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4"/>
      <c r="H676" s="756" t="s">
        <v>46</v>
      </c>
      <c r="I676" s="269"/>
      <c r="J676" s="214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4"/>
      <c r="H677" s="756" t="s">
        <v>46</v>
      </c>
      <c r="I677" s="269"/>
      <c r="J677" s="214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4"/>
      <c r="H678" s="756" t="s">
        <v>46</v>
      </c>
      <c r="I678" s="675">
        <f ca="1">IFERROR(__xludf.DUMMYFUNCTION("IMPORTRANGE(""https://docs.google.com/spreadsheets/d/1QqKyyYR6Q21VydFLVH3TRQUabQu_ym0Zz7PgGX0-kHA/edit?usp=sharing"",""แผน!IB82"")"),0)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4"/>
      <c r="H679" s="756" t="s">
        <v>46</v>
      </c>
      <c r="I679" s="269"/>
      <c r="J679" s="269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4"/>
      <c r="H680" s="756" t="s">
        <v>46</v>
      </c>
      <c r="I680" s="269"/>
      <c r="J680" s="214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4"/>
      <c r="H681" s="756" t="s">
        <v>46</v>
      </c>
      <c r="I681" s="269"/>
      <c r="J681" s="214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4"/>
      <c r="H682" s="756" t="s">
        <v>46</v>
      </c>
      <c r="I682" s="269"/>
      <c r="J682" s="214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4"/>
      <c r="H683" s="756" t="s">
        <v>46</v>
      </c>
      <c r="I683" s="269"/>
      <c r="J683" s="214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5"/>
      <c r="B684" s="746" t="s">
        <v>293</v>
      </c>
      <c r="C684" s="745"/>
      <c r="D684" s="745"/>
      <c r="E684" s="745"/>
      <c r="F684" s="745"/>
      <c r="G684" s="747"/>
      <c r="H684" s="747"/>
      <c r="I684" s="748"/>
      <c r="J684" s="748"/>
      <c r="K684" s="749"/>
      <c r="L684" s="749"/>
      <c r="M684" s="749"/>
      <c r="N684" s="749"/>
      <c r="O684" s="749"/>
      <c r="P684" s="749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5"/>
      <c r="C685" s="755" t="s">
        <v>16</v>
      </c>
      <c r="D685" s="840" t="s">
        <v>17</v>
      </c>
      <c r="E685" s="834"/>
      <c r="F685" s="834"/>
      <c r="G685" s="189"/>
      <c r="H685" s="592" t="s">
        <v>12</v>
      </c>
      <c r="I685" s="269"/>
      <c r="J685" s="269"/>
      <c r="K685" s="497"/>
      <c r="L685" s="195">
        <f t="shared" ref="L685:N685" ca="1" si="283">L686+L687</f>
        <v>0</v>
      </c>
      <c r="M685" s="195">
        <f t="shared" si="283"/>
        <v>0</v>
      </c>
      <c r="N685" s="195">
        <f t="shared" si="283"/>
        <v>0</v>
      </c>
      <c r="O685" s="195">
        <f t="shared" ref="O685:O688" ca="1" si="284">IF(L685&gt;0,N685*100/L685,0)</f>
        <v>0</v>
      </c>
      <c r="P685" s="195">
        <f t="shared" ref="P685:P688" si="285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1"/>
      <c r="C686" s="751"/>
      <c r="D686" s="712"/>
      <c r="E686" s="751" t="s">
        <v>184</v>
      </c>
      <c r="F686" s="751"/>
      <c r="G686" s="597"/>
      <c r="H686" s="165" t="s">
        <v>12</v>
      </c>
      <c r="I686" s="611"/>
      <c r="J686" s="611"/>
      <c r="K686" s="93"/>
      <c r="L686" s="93">
        <f t="shared" ref="L686:N687" si="286">L689+L696</f>
        <v>0</v>
      </c>
      <c r="M686" s="93">
        <f t="shared" si="286"/>
        <v>0</v>
      </c>
      <c r="N686" s="93">
        <f t="shared" si="286"/>
        <v>0</v>
      </c>
      <c r="O686" s="93">
        <f t="shared" si="284"/>
        <v>0</v>
      </c>
      <c r="P686" s="93">
        <f t="shared" si="285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1"/>
      <c r="D687" s="712"/>
      <c r="E687" s="751" t="s">
        <v>185</v>
      </c>
      <c r="F687" s="751"/>
      <c r="G687" s="597"/>
      <c r="H687" s="165" t="s">
        <v>12</v>
      </c>
      <c r="I687" s="611"/>
      <c r="J687" s="611"/>
      <c r="K687" s="93"/>
      <c r="L687" s="93">
        <f t="shared" ca="1" si="286"/>
        <v>0</v>
      </c>
      <c r="M687" s="93">
        <f t="shared" si="286"/>
        <v>0</v>
      </c>
      <c r="N687" s="93">
        <f t="shared" si="286"/>
        <v>0</v>
      </c>
      <c r="O687" s="93">
        <f t="shared" ca="1" si="284"/>
        <v>0</v>
      </c>
      <c r="P687" s="93">
        <f t="shared" si="285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5"/>
      <c r="D688" s="600" t="s">
        <v>20</v>
      </c>
      <c r="E688" s="755"/>
      <c r="F688" s="755"/>
      <c r="G688" s="189"/>
      <c r="H688" s="161" t="s">
        <v>12</v>
      </c>
      <c r="I688" s="184"/>
      <c r="J688" s="184"/>
      <c r="K688" s="163"/>
      <c r="L688" s="497">
        <f t="shared" ref="L688:N688" ca="1" si="287">L689+L690</f>
        <v>0</v>
      </c>
      <c r="M688" s="497">
        <f t="shared" si="287"/>
        <v>0</v>
      </c>
      <c r="N688" s="497">
        <f t="shared" si="287"/>
        <v>0</v>
      </c>
      <c r="O688" s="497">
        <f t="shared" ca="1" si="284"/>
        <v>0</v>
      </c>
      <c r="P688" s="497">
        <f t="shared" si="285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1"/>
      <c r="D689" s="712"/>
      <c r="E689" s="751" t="s">
        <v>184</v>
      </c>
      <c r="F689" s="751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1"/>
      <c r="D690" s="712"/>
      <c r="E690" s="751" t="s">
        <v>185</v>
      </c>
      <c r="F690" s="751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5"/>
      <c r="D691" s="755"/>
      <c r="E691" s="755"/>
      <c r="F691" s="755" t="s">
        <v>186</v>
      </c>
      <c r="G691" s="189"/>
      <c r="H691" s="161" t="s">
        <v>12</v>
      </c>
      <c r="I691" s="269"/>
      <c r="J691" s="269"/>
      <c r="K691" s="497"/>
      <c r="L691" s="497"/>
      <c r="M691" s="497"/>
      <c r="N691" s="818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5"/>
      <c r="D692" s="755"/>
      <c r="E692" s="755"/>
      <c r="F692" s="755" t="s">
        <v>187</v>
      </c>
      <c r="G692" s="189"/>
      <c r="H692" s="161" t="s">
        <v>12</v>
      </c>
      <c r="I692" s="269"/>
      <c r="J692" s="269"/>
      <c r="K692" s="497"/>
      <c r="L692" s="497"/>
      <c r="M692" s="497"/>
      <c r="N692" s="818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5"/>
      <c r="D693" s="755"/>
      <c r="E693" s="755"/>
      <c r="F693" s="755" t="s">
        <v>188</v>
      </c>
      <c r="G693" s="189"/>
      <c r="H693" s="161" t="s">
        <v>12</v>
      </c>
      <c r="I693" s="269"/>
      <c r="J693" s="269"/>
      <c r="K693" s="497"/>
      <c r="L693" s="497"/>
      <c r="M693" s="497"/>
      <c r="N693" s="818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5"/>
      <c r="D694" s="755"/>
      <c r="E694" s="755"/>
      <c r="F694" s="755" t="s">
        <v>189</v>
      </c>
      <c r="G694" s="189"/>
      <c r="H694" s="161" t="s">
        <v>12</v>
      </c>
      <c r="I694" s="269"/>
      <c r="J694" s="269"/>
      <c r="K694" s="497"/>
      <c r="L694" s="497"/>
      <c r="M694" s="497"/>
      <c r="N694" s="818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5"/>
      <c r="D695" s="600" t="s">
        <v>21</v>
      </c>
      <c r="E695" s="755"/>
      <c r="F695" s="755"/>
      <c r="G695" s="189"/>
      <c r="H695" s="168" t="s">
        <v>12</v>
      </c>
      <c r="I695" s="184"/>
      <c r="J695" s="184"/>
      <c r="K695" s="163"/>
      <c r="L695" s="497">
        <f t="shared" ref="L695:N695" si="288">L696+L697</f>
        <v>0</v>
      </c>
      <c r="M695" s="497">
        <f t="shared" si="288"/>
        <v>0</v>
      </c>
      <c r="N695" s="497">
        <f t="shared" si="288"/>
        <v>0</v>
      </c>
      <c r="O695" s="497">
        <f t="shared" ref="O695:O697" si="289">IF(L695&gt;0,N695*100/L695,0)</f>
        <v>0</v>
      </c>
      <c r="P695" s="497">
        <f t="shared" ref="P695:P697" si="290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1"/>
      <c r="D696" s="751"/>
      <c r="E696" s="751" t="s">
        <v>18</v>
      </c>
      <c r="F696" s="751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9"/>
        <v>0</v>
      </c>
      <c r="P696" s="93">
        <f t="shared" si="290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1"/>
      <c r="D697" s="751"/>
      <c r="E697" s="751" t="s">
        <v>19</v>
      </c>
      <c r="F697" s="751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9"/>
        <v>0</v>
      </c>
      <c r="P697" s="93">
        <f t="shared" si="290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5" t="s">
        <v>16</v>
      </c>
      <c r="D698" s="866" t="s">
        <v>38</v>
      </c>
      <c r="E698" s="753"/>
      <c r="F698" s="753"/>
      <c r="G698" s="607"/>
      <c r="H698" s="754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6"/>
      <c r="B699" s="755"/>
      <c r="C699" s="755"/>
      <c r="D699" s="755" t="s">
        <v>294</v>
      </c>
      <c r="E699" s="755"/>
      <c r="F699" s="755"/>
      <c r="G699" s="189"/>
      <c r="H699" s="756" t="s">
        <v>46</v>
      </c>
      <c r="I699" s="757">
        <f ca="1">IFERROR(__xludf.DUMMYFUNCTION("IMPORTRANGE(""https://docs.google.com/spreadsheets/d/1QqKyyYR6Q21VydFLVH3TRQUabQu_ym0Zz7PgGX0-kHA/edit?usp=sharing"",""แผน!IC82"")"),0)</f>
        <v>0</v>
      </c>
      <c r="J699" s="269">
        <f ca="1">IFERROR(__xludf.DUMMYFUNCTION("IMPORTRANGE(""https://docs.google.com/spreadsheets/d/1XWAQStnk-4SwqDmLtmXYiTMKHgktTP8We1SCoS47DrQ/edit?usp=sharing"",""จัดที่ดิน!BB82"")"),0)</f>
        <v>0</v>
      </c>
      <c r="K699" s="497">
        <f t="shared" ref="K699:K701" ca="1" si="291">IF(I699&gt;0,J699*100/I699,0)</f>
        <v>0</v>
      </c>
      <c r="L699" s="497"/>
      <c r="M699" s="189"/>
      <c r="N699" s="758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6"/>
      <c r="B700" s="755"/>
      <c r="C700" s="755"/>
      <c r="D700" s="755" t="s">
        <v>295</v>
      </c>
      <c r="E700" s="755"/>
      <c r="F700" s="755"/>
      <c r="G700" s="189"/>
      <c r="H700" s="756" t="s">
        <v>35</v>
      </c>
      <c r="I700" s="757">
        <f ca="1">IFERROR(__xludf.DUMMYFUNCTION("IMPORTRANGE(""https://docs.google.com/spreadsheets/d/1QqKyyYR6Q21VydFLVH3TRQUabQu_ym0Zz7PgGX0-kHA/edit?usp=sharing"",""แผน!ID82"")"),0)</f>
        <v>0</v>
      </c>
      <c r="J700" s="269">
        <f ca="1">IFERROR(__xludf.DUMMYFUNCTION("IMPORTRANGE(""https://docs.google.com/spreadsheets/d/1XWAQStnk-4SwqDmLtmXYiTMKHgktTP8We1SCoS47DrQ/edit?usp=sharing"",""จัดที่ดิน!BD82"")"),0)</f>
        <v>0</v>
      </c>
      <c r="K700" s="497">
        <f t="shared" ca="1" si="291"/>
        <v>0</v>
      </c>
      <c r="L700" s="497"/>
      <c r="M700" s="189"/>
      <c r="N700" s="758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6"/>
      <c r="B701" s="755"/>
      <c r="C701" s="755"/>
      <c r="D701" s="755" t="s">
        <v>296</v>
      </c>
      <c r="E701" s="755"/>
      <c r="F701" s="755"/>
      <c r="G701" s="189"/>
      <c r="H701" s="759" t="s">
        <v>46</v>
      </c>
      <c r="I701" s="760">
        <f ca="1">IFERROR(__xludf.DUMMYFUNCTION("IMPORTRANGE(""https://docs.google.com/spreadsheets/d/1QqKyyYR6Q21VydFLVH3TRQUabQu_ym0Zz7PgGX0-kHA/edit?usp=sharing"",""แผน!IE82"")"),0)</f>
        <v>0</v>
      </c>
      <c r="J701" s="675">
        <f>J704+J707</f>
        <v>0</v>
      </c>
      <c r="K701" s="195">
        <f t="shared" ca="1" si="291"/>
        <v>0</v>
      </c>
      <c r="L701" s="497"/>
      <c r="M701" s="189"/>
      <c r="N701" s="758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6"/>
      <c r="B702" s="755"/>
      <c r="C702" s="755"/>
      <c r="D702" s="755"/>
      <c r="E702" s="755" t="s">
        <v>297</v>
      </c>
      <c r="F702" s="755"/>
      <c r="G702" s="189"/>
      <c r="H702" s="756" t="s">
        <v>35</v>
      </c>
      <c r="I702" s="757"/>
      <c r="J702" s="214">
        <v>0</v>
      </c>
      <c r="K702" s="497"/>
      <c r="L702" s="497"/>
      <c r="M702" s="189"/>
      <c r="N702" s="758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6"/>
      <c r="B703" s="755"/>
      <c r="C703" s="755"/>
      <c r="D703" s="755"/>
      <c r="E703" s="755"/>
      <c r="F703" s="755"/>
      <c r="G703" s="189"/>
      <c r="H703" s="756" t="s">
        <v>34</v>
      </c>
      <c r="I703" s="757"/>
      <c r="J703" s="214">
        <v>0</v>
      </c>
      <c r="K703" s="497"/>
      <c r="L703" s="497"/>
      <c r="M703" s="189"/>
      <c r="N703" s="758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6"/>
      <c r="B704" s="755"/>
      <c r="C704" s="755"/>
      <c r="D704" s="755"/>
      <c r="E704" s="755"/>
      <c r="F704" s="755"/>
      <c r="G704" s="189"/>
      <c r="H704" s="756" t="s">
        <v>46</v>
      </c>
      <c r="I704" s="757">
        <f ca="1">IFERROR(__xludf.DUMMYFUNCTION("IMPORTRANGE(""https://docs.google.com/spreadsheets/d/1QqKyyYR6Q21VydFLVH3TRQUabQu_ym0Zz7PgGX0-kHA/edit?usp=sharing"",""แผน!IF82"")"),0)</f>
        <v>0</v>
      </c>
      <c r="J704" s="214">
        <v>0</v>
      </c>
      <c r="K704" s="497"/>
      <c r="L704" s="497"/>
      <c r="M704" s="189"/>
      <c r="N704" s="758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6"/>
      <c r="B705" s="755"/>
      <c r="C705" s="755"/>
      <c r="D705" s="755"/>
      <c r="E705" s="755" t="s">
        <v>298</v>
      </c>
      <c r="F705" s="755"/>
      <c r="G705" s="189"/>
      <c r="H705" s="756" t="s">
        <v>35</v>
      </c>
      <c r="I705" s="757"/>
      <c r="J705" s="214">
        <v>0</v>
      </c>
      <c r="K705" s="497"/>
      <c r="L705" s="497"/>
      <c r="M705" s="189"/>
      <c r="N705" s="758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6"/>
      <c r="B706" s="755"/>
      <c r="C706" s="755"/>
      <c r="D706" s="755"/>
      <c r="E706" s="755"/>
      <c r="F706" s="755"/>
      <c r="G706" s="189"/>
      <c r="H706" s="756" t="s">
        <v>34</v>
      </c>
      <c r="I706" s="757"/>
      <c r="J706" s="214">
        <v>0</v>
      </c>
      <c r="K706" s="497"/>
      <c r="L706" s="497"/>
      <c r="M706" s="189"/>
      <c r="N706" s="758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6"/>
      <c r="B707" s="755"/>
      <c r="C707" s="755"/>
      <c r="D707" s="755"/>
      <c r="E707" s="755"/>
      <c r="F707" s="755"/>
      <c r="G707" s="189"/>
      <c r="H707" s="756" t="s">
        <v>46</v>
      </c>
      <c r="I707" s="757">
        <f ca="1">IFERROR(__xludf.DUMMYFUNCTION("IMPORTRANGE(""https://docs.google.com/spreadsheets/d/1QqKyyYR6Q21VydFLVH3TRQUabQu_ym0Zz7PgGX0-kHA/edit?usp=sharing"",""แผน!IG82"")"),0)</f>
        <v>0</v>
      </c>
      <c r="J707" s="214">
        <v>0</v>
      </c>
      <c r="K707" s="497"/>
      <c r="L707" s="497"/>
      <c r="M707" s="189"/>
      <c r="N707" s="758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6"/>
      <c r="B708" s="755"/>
      <c r="C708" s="755"/>
      <c r="D708" s="761" t="s">
        <v>299</v>
      </c>
      <c r="E708" s="755"/>
      <c r="F708" s="755"/>
      <c r="G708" s="189"/>
      <c r="H708" s="759" t="s">
        <v>46</v>
      </c>
      <c r="I708" s="760">
        <f ca="1">IFERROR(__xludf.DUMMYFUNCTION("IMPORTRANGE(""https://docs.google.com/spreadsheets/d/1QqKyyYR6Q21VydFLVH3TRQUabQu_ym0Zz7PgGX0-kHA/edit?usp=sharing"",""แผน!IH82"")"),0)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58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6"/>
      <c r="B709" s="755"/>
      <c r="C709" s="755"/>
      <c r="D709" s="755"/>
      <c r="E709" s="755" t="s">
        <v>300</v>
      </c>
      <c r="F709" s="755"/>
      <c r="G709" s="189"/>
      <c r="H709" s="756" t="s">
        <v>34</v>
      </c>
      <c r="I709" s="757"/>
      <c r="J709" s="214">
        <v>0</v>
      </c>
      <c r="K709" s="497"/>
      <c r="L709" s="758"/>
      <c r="M709" s="189"/>
      <c r="N709" s="758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6"/>
      <c r="B710" s="755"/>
      <c r="C710" s="755"/>
      <c r="D710" s="755"/>
      <c r="E710" s="755"/>
      <c r="F710" s="755"/>
      <c r="G710" s="189"/>
      <c r="H710" s="756" t="s">
        <v>46</v>
      </c>
      <c r="I710" s="757"/>
      <c r="J710" s="214">
        <v>0</v>
      </c>
      <c r="K710" s="497"/>
      <c r="L710" s="758"/>
      <c r="M710" s="189"/>
      <c r="N710" s="758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6"/>
      <c r="B711" s="755"/>
      <c r="C711" s="755"/>
      <c r="D711" s="755"/>
      <c r="E711" s="755" t="s">
        <v>301</v>
      </c>
      <c r="F711" s="755"/>
      <c r="G711" s="189"/>
      <c r="H711" s="754"/>
      <c r="I711" s="757"/>
      <c r="J711" s="269"/>
      <c r="K711" s="497"/>
      <c r="L711" s="758"/>
      <c r="M711" s="189"/>
      <c r="N711" s="758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6"/>
      <c r="B712" s="755"/>
      <c r="C712" s="755"/>
      <c r="D712" s="755"/>
      <c r="E712" s="755"/>
      <c r="F712" s="755" t="s">
        <v>302</v>
      </c>
      <c r="G712" s="189"/>
      <c r="H712" s="756" t="s">
        <v>35</v>
      </c>
      <c r="I712" s="757"/>
      <c r="J712" s="214">
        <v>0</v>
      </c>
      <c r="K712" s="497"/>
      <c r="L712" s="758"/>
      <c r="M712" s="189"/>
      <c r="N712" s="758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6"/>
      <c r="B713" s="755"/>
      <c r="C713" s="755"/>
      <c r="D713" s="755"/>
      <c r="E713" s="755"/>
      <c r="F713" s="755"/>
      <c r="G713" s="189"/>
      <c r="H713" s="756" t="s">
        <v>34</v>
      </c>
      <c r="I713" s="757"/>
      <c r="J713" s="214">
        <v>0</v>
      </c>
      <c r="K713" s="497"/>
      <c r="L713" s="758"/>
      <c r="M713" s="189"/>
      <c r="N713" s="758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6"/>
      <c r="B714" s="755"/>
      <c r="C714" s="755"/>
      <c r="D714" s="755"/>
      <c r="E714" s="755"/>
      <c r="F714" s="755"/>
      <c r="G714" s="189"/>
      <c r="H714" s="756" t="s">
        <v>46</v>
      </c>
      <c r="I714" s="757"/>
      <c r="J714" s="214">
        <v>0</v>
      </c>
      <c r="K714" s="497"/>
      <c r="L714" s="758"/>
      <c r="M714" s="189"/>
      <c r="N714" s="758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6"/>
      <c r="B715" s="755"/>
      <c r="C715" s="755"/>
      <c r="D715" s="755"/>
      <c r="E715" s="755"/>
      <c r="F715" s="755" t="s">
        <v>303</v>
      </c>
      <c r="G715" s="189"/>
      <c r="H715" s="756" t="s">
        <v>35</v>
      </c>
      <c r="I715" s="757"/>
      <c r="J715" s="214">
        <v>0</v>
      </c>
      <c r="K715" s="497"/>
      <c r="L715" s="758"/>
      <c r="M715" s="189"/>
      <c r="N715" s="758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6"/>
      <c r="B716" s="755"/>
      <c r="C716" s="755"/>
      <c r="D716" s="755"/>
      <c r="E716" s="755"/>
      <c r="F716" s="755"/>
      <c r="G716" s="189"/>
      <c r="H716" s="756" t="s">
        <v>34</v>
      </c>
      <c r="I716" s="757"/>
      <c r="J716" s="214">
        <v>0</v>
      </c>
      <c r="K716" s="497"/>
      <c r="L716" s="758"/>
      <c r="M716" s="189"/>
      <c r="N716" s="758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6"/>
      <c r="B717" s="755"/>
      <c r="C717" s="755"/>
      <c r="D717" s="755"/>
      <c r="E717" s="755"/>
      <c r="F717" s="755"/>
      <c r="G717" s="189"/>
      <c r="H717" s="756" t="s">
        <v>46</v>
      </c>
      <c r="I717" s="757"/>
      <c r="J717" s="214">
        <v>0</v>
      </c>
      <c r="K717" s="497"/>
      <c r="L717" s="758"/>
      <c r="M717" s="189"/>
      <c r="N717" s="758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6"/>
      <c r="B718" s="755"/>
      <c r="C718" s="755"/>
      <c r="D718" s="755" t="s">
        <v>304</v>
      </c>
      <c r="E718" s="755"/>
      <c r="F718" s="755"/>
      <c r="G718" s="189"/>
      <c r="H718" s="756" t="s">
        <v>35</v>
      </c>
      <c r="I718" s="757"/>
      <c r="J718" s="269">
        <f ca="1">IFERROR(__xludf.DUMMYFUNCTION("IMPORTRANGE(""https://docs.google.com/spreadsheets/d/1XWAQStnk-4SwqDmLtmXYiTMKHgktTP8We1SCoS47DrQ/edit?usp=sharing"",""จัดที่ดิน!BF82"")"),0)</f>
        <v>0</v>
      </c>
      <c r="K718" s="497"/>
      <c r="L718" s="497"/>
      <c r="M718" s="189"/>
      <c r="N718" s="758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6"/>
      <c r="B719" s="755"/>
      <c r="C719" s="755"/>
      <c r="D719" s="755"/>
      <c r="E719" s="755"/>
      <c r="F719" s="755"/>
      <c r="G719" s="189"/>
      <c r="H719" s="756" t="s">
        <v>34</v>
      </c>
      <c r="I719" s="757"/>
      <c r="J719" s="269">
        <f ca="1">IFERROR(__xludf.DUMMYFUNCTION("IMPORTRANGE(""https://docs.google.com/spreadsheets/d/1XWAQStnk-4SwqDmLtmXYiTMKHgktTP8We1SCoS47DrQ/edit?usp=sharing"",""จัดที่ดิน!BG82"")"),0)</f>
        <v>0</v>
      </c>
      <c r="K719" s="497"/>
      <c r="L719" s="758"/>
      <c r="M719" s="189"/>
      <c r="N719" s="758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6"/>
      <c r="B720" s="755"/>
      <c r="C720" s="755"/>
      <c r="D720" s="755"/>
      <c r="E720" s="755"/>
      <c r="F720" s="755"/>
      <c r="G720" s="189"/>
      <c r="H720" s="756" t="s">
        <v>46</v>
      </c>
      <c r="I720" s="757">
        <f ca="1">IFERROR(__xludf.DUMMYFUNCTION("IMPORTRANGE(""https://docs.google.com/spreadsheets/d/1QqKyyYR6Q21VydFLVH3TRQUabQu_ym0Zz7PgGX0-kHA/edit?usp=sharing"",""แผน!II82"")"),0)</f>
        <v>0</v>
      </c>
      <c r="J720" s="269">
        <f ca="1">IFERROR(__xludf.DUMMYFUNCTION("IMPORTRANGE(""https://docs.google.com/spreadsheets/d/1XWAQStnk-4SwqDmLtmXYiTMKHgktTP8We1SCoS47DrQ/edit?usp=sharing"",""จัดที่ดิน!BH82"")"),0)</f>
        <v>0</v>
      </c>
      <c r="K720" s="497">
        <f t="shared" ref="K720:K723" ca="1" si="292">IF(I720&gt;0,J720*100/I720,0)</f>
        <v>0</v>
      </c>
      <c r="L720" s="758"/>
      <c r="M720" s="189"/>
      <c r="N720" s="758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6"/>
      <c r="B721" s="755"/>
      <c r="C721" s="755"/>
      <c r="D721" s="755" t="s">
        <v>305</v>
      </c>
      <c r="E721" s="755"/>
      <c r="F721" s="755"/>
      <c r="G721" s="189"/>
      <c r="H721" s="759" t="s">
        <v>35</v>
      </c>
      <c r="I721" s="760">
        <f ca="1">IFERROR(__xludf.DUMMYFUNCTION("IMPORTRANGE(""https://docs.google.com/spreadsheets/d/1QqKyyYR6Q21VydFLVH3TRQUabQu_ym0Zz7PgGX0-kHA/edit?usp=sharing"",""แผน!IJ82"")"),0)</f>
        <v>0</v>
      </c>
      <c r="J721" s="675">
        <f ca="1">J723+J726</f>
        <v>0</v>
      </c>
      <c r="K721" s="195">
        <f t="shared" ca="1" si="292"/>
        <v>0</v>
      </c>
      <c r="L721" s="758"/>
      <c r="M721" s="189"/>
      <c r="N721" s="758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6"/>
      <c r="B722" s="755"/>
      <c r="C722" s="755"/>
      <c r="D722" s="755"/>
      <c r="E722" s="755"/>
      <c r="F722" s="755"/>
      <c r="G722" s="189"/>
      <c r="H722" s="759" t="s">
        <v>46</v>
      </c>
      <c r="I722" s="760">
        <f ca="1">IFERROR(__xludf.DUMMYFUNCTION("IMPORTRANGE(""https://docs.google.com/spreadsheets/d/1QqKyyYR6Q21VydFLVH3TRQUabQu_ym0Zz7PgGX0-kHA/edit?usp=sharing"",""แผน!IK82"")"),0)</f>
        <v>0</v>
      </c>
      <c r="J722" s="675">
        <f ca="1">J725+J728</f>
        <v>0</v>
      </c>
      <c r="K722" s="195">
        <f t="shared" ca="1" si="292"/>
        <v>0</v>
      </c>
      <c r="L722" s="497"/>
      <c r="M722" s="189"/>
      <c r="N722" s="758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6"/>
      <c r="B723" s="755"/>
      <c r="C723" s="755"/>
      <c r="D723" s="755"/>
      <c r="E723" s="755" t="s">
        <v>306</v>
      </c>
      <c r="F723" s="755"/>
      <c r="G723" s="189"/>
      <c r="H723" s="756" t="s">
        <v>35</v>
      </c>
      <c r="I723" s="757">
        <f ca="1">IFERROR(__xludf.DUMMYFUNCTION("IMPORTRANGE(""https://docs.google.com/spreadsheets/d/1QqKyyYR6Q21VydFLVH3TRQUabQu_ym0Zz7PgGX0-kHA/edit?usp=sharing"",""แผน!IL82"")"),0)</f>
        <v>0</v>
      </c>
      <c r="J723" s="269">
        <f ca="1">IFERROR(__xludf.DUMMYFUNCTION("IMPORTRANGE(""https://docs.google.com/spreadsheets/d/1XWAQStnk-4SwqDmLtmXYiTMKHgktTP8We1SCoS47DrQ/edit?usp=sharing"",""จัดที่ดิน!BM82"")"),0)</f>
        <v>0</v>
      </c>
      <c r="K723" s="497">
        <f t="shared" ca="1" si="292"/>
        <v>0</v>
      </c>
      <c r="L723" s="497"/>
      <c r="M723" s="189"/>
      <c r="N723" s="758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6"/>
      <c r="B724" s="755"/>
      <c r="C724" s="755"/>
      <c r="D724" s="755"/>
      <c r="E724" s="755"/>
      <c r="F724" s="755"/>
      <c r="G724" s="189"/>
      <c r="H724" s="756" t="s">
        <v>34</v>
      </c>
      <c r="I724" s="757"/>
      <c r="J724" s="269">
        <f ca="1">IFERROR(__xludf.DUMMYFUNCTION("IMPORTRANGE(""https://docs.google.com/spreadsheets/d/1XWAQStnk-4SwqDmLtmXYiTMKHgktTP8We1SCoS47DrQ/edit?usp=sharing"",""จัดที่ดิน!BN82"")"),0)</f>
        <v>0</v>
      </c>
      <c r="K724" s="497"/>
      <c r="L724" s="758"/>
      <c r="M724" s="189"/>
      <c r="N724" s="758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6"/>
      <c r="B725" s="755"/>
      <c r="C725" s="755"/>
      <c r="D725" s="755"/>
      <c r="E725" s="755"/>
      <c r="F725" s="755"/>
      <c r="G725" s="189"/>
      <c r="H725" s="756" t="s">
        <v>46</v>
      </c>
      <c r="I725" s="757">
        <f ca="1">IFERROR(__xludf.DUMMYFUNCTION("IMPORTRANGE(""https://docs.google.com/spreadsheets/d/1QqKyyYR6Q21VydFLVH3TRQUabQu_ym0Zz7PgGX0-kHA/edit?usp=sharing"",""แผน!IM82"")"),0)</f>
        <v>0</v>
      </c>
      <c r="J725" s="269">
        <f ca="1">IFERROR(__xludf.DUMMYFUNCTION("IMPORTRANGE(""https://docs.google.com/spreadsheets/d/1XWAQStnk-4SwqDmLtmXYiTMKHgktTP8We1SCoS47DrQ/edit?usp=sharing"",""จัดที่ดิน!BO82"")"),0)</f>
        <v>0</v>
      </c>
      <c r="K725" s="497">
        <f t="shared" ref="K725:K726" ca="1" si="293">IF(I725&gt;0,J725*100/I725,0)</f>
        <v>0</v>
      </c>
      <c r="L725" s="758"/>
      <c r="M725" s="189"/>
      <c r="N725" s="758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6"/>
      <c r="B726" s="755"/>
      <c r="C726" s="755"/>
      <c r="D726" s="755"/>
      <c r="E726" s="755" t="s">
        <v>307</v>
      </c>
      <c r="F726" s="755"/>
      <c r="G726" s="189"/>
      <c r="H726" s="756" t="s">
        <v>35</v>
      </c>
      <c r="I726" s="757">
        <f ca="1">IFERROR(__xludf.DUMMYFUNCTION("IMPORTRANGE(""https://docs.google.com/spreadsheets/d/1QqKyyYR6Q21VydFLVH3TRQUabQu_ym0Zz7PgGX0-kHA/edit?usp=sharing"",""แผน!IN82"")"),0)</f>
        <v>0</v>
      </c>
      <c r="J726" s="269">
        <f ca="1">IFERROR(__xludf.DUMMYFUNCTION("IMPORTRANGE(""https://docs.google.com/spreadsheets/d/1XWAQStnk-4SwqDmLtmXYiTMKHgktTP8We1SCoS47DrQ/edit?usp=sharing"",""จัดที่ดิน!BR82"")"),0)</f>
        <v>0</v>
      </c>
      <c r="K726" s="497">
        <f t="shared" ca="1" si="293"/>
        <v>0</v>
      </c>
      <c r="L726" s="497"/>
      <c r="M726" s="189"/>
      <c r="N726" s="758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6"/>
      <c r="B727" s="755"/>
      <c r="C727" s="755"/>
      <c r="D727" s="755"/>
      <c r="E727" s="755"/>
      <c r="F727" s="755"/>
      <c r="G727" s="189"/>
      <c r="H727" s="756" t="s">
        <v>34</v>
      </c>
      <c r="I727" s="757"/>
      <c r="J727" s="269">
        <f ca="1">IFERROR(__xludf.DUMMYFUNCTION("IMPORTRANGE(""https://docs.google.com/spreadsheets/d/1XWAQStnk-4SwqDmLtmXYiTMKHgktTP8We1SCoS47DrQ/edit?usp=sharing"",""จัดที่ดิน!BS82"")"),0)</f>
        <v>0</v>
      </c>
      <c r="K727" s="497"/>
      <c r="L727" s="758"/>
      <c r="M727" s="189"/>
      <c r="N727" s="758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6"/>
      <c r="B728" s="755"/>
      <c r="C728" s="755"/>
      <c r="D728" s="755"/>
      <c r="E728" s="755"/>
      <c r="F728" s="755"/>
      <c r="G728" s="189"/>
      <c r="H728" s="756" t="s">
        <v>46</v>
      </c>
      <c r="I728" s="757">
        <f ca="1">IFERROR(__xludf.DUMMYFUNCTION("IMPORTRANGE(""https://docs.google.com/spreadsheets/d/1QqKyyYR6Q21VydFLVH3TRQUabQu_ym0Zz7PgGX0-kHA/edit?usp=sharing"",""แผน!IO82"")"),0)</f>
        <v>0</v>
      </c>
      <c r="J728" s="269">
        <f ca="1">IFERROR(__xludf.DUMMYFUNCTION("IMPORTRANGE(""https://docs.google.com/spreadsheets/d/1XWAQStnk-4SwqDmLtmXYiTMKHgktTP8We1SCoS47DrQ/edit?usp=sharing"",""จัดที่ดิน!BT82"")"),0)</f>
        <v>0</v>
      </c>
      <c r="K728" s="497">
        <f t="shared" ref="K728:K729" ca="1" si="294">IF(I728&gt;0,J728*100/I728,0)</f>
        <v>0</v>
      </c>
      <c r="L728" s="758"/>
      <c r="M728" s="189"/>
      <c r="N728" s="758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6"/>
      <c r="B729" s="755"/>
      <c r="C729" s="755"/>
      <c r="D729" s="755" t="s">
        <v>308</v>
      </c>
      <c r="E729" s="755"/>
      <c r="F729" s="755"/>
      <c r="G729" s="189"/>
      <c r="H729" s="759" t="s">
        <v>46</v>
      </c>
      <c r="I729" s="760">
        <f ca="1">IFERROR(__xludf.DUMMYFUNCTION("IMPORTRANGE(""https://docs.google.com/spreadsheets/d/1QqKyyYR6Q21VydFLVH3TRQUabQu_ym0Zz7PgGX0-kHA/edit?usp=sharing"",""แผน!IP82"")"),0)</f>
        <v>0</v>
      </c>
      <c r="J729" s="675">
        <f>J732+J735</f>
        <v>0</v>
      </c>
      <c r="K729" s="195">
        <f t="shared" ca="1" si="294"/>
        <v>0</v>
      </c>
      <c r="L729" s="497"/>
      <c r="M729" s="189"/>
      <c r="N729" s="758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6"/>
      <c r="B730" s="755"/>
      <c r="C730" s="755"/>
      <c r="D730" s="755"/>
      <c r="E730" s="755" t="s">
        <v>309</v>
      </c>
      <c r="F730" s="755"/>
      <c r="G730" s="189"/>
      <c r="H730" s="756" t="s">
        <v>35</v>
      </c>
      <c r="I730" s="757"/>
      <c r="J730" s="214">
        <v>0</v>
      </c>
      <c r="K730" s="497"/>
      <c r="L730" s="758"/>
      <c r="M730" s="497"/>
      <c r="N730" s="758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6"/>
      <c r="B731" s="755"/>
      <c r="C731" s="755"/>
      <c r="D731" s="755"/>
      <c r="E731" s="755"/>
      <c r="F731" s="755"/>
      <c r="G731" s="189"/>
      <c r="H731" s="756" t="s">
        <v>34</v>
      </c>
      <c r="I731" s="757"/>
      <c r="J731" s="214">
        <v>0</v>
      </c>
      <c r="K731" s="497"/>
      <c r="L731" s="758"/>
      <c r="M731" s="497"/>
      <c r="N731" s="758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6"/>
      <c r="B732" s="755"/>
      <c r="C732" s="755"/>
      <c r="D732" s="755"/>
      <c r="E732" s="755"/>
      <c r="F732" s="755"/>
      <c r="G732" s="189"/>
      <c r="H732" s="756" t="s">
        <v>46</v>
      </c>
      <c r="I732" s="757"/>
      <c r="J732" s="214">
        <v>0</v>
      </c>
      <c r="K732" s="497"/>
      <c r="L732" s="758"/>
      <c r="M732" s="497"/>
      <c r="N732" s="758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6"/>
      <c r="B733" s="755"/>
      <c r="C733" s="755"/>
      <c r="D733" s="755"/>
      <c r="E733" s="755" t="s">
        <v>310</v>
      </c>
      <c r="F733" s="755"/>
      <c r="G733" s="189"/>
      <c r="H733" s="756" t="s">
        <v>35</v>
      </c>
      <c r="I733" s="757"/>
      <c r="J733" s="214">
        <v>0</v>
      </c>
      <c r="K733" s="497"/>
      <c r="L733" s="758"/>
      <c r="M733" s="497"/>
      <c r="N733" s="758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6"/>
      <c r="B734" s="755"/>
      <c r="C734" s="755"/>
      <c r="D734" s="755"/>
      <c r="E734" s="755"/>
      <c r="F734" s="755"/>
      <c r="G734" s="189"/>
      <c r="H734" s="756" t="s">
        <v>34</v>
      </c>
      <c r="I734" s="757"/>
      <c r="J734" s="214">
        <v>0</v>
      </c>
      <c r="K734" s="497"/>
      <c r="L734" s="758"/>
      <c r="M734" s="497"/>
      <c r="N734" s="758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2"/>
      <c r="B735" s="763" t="s">
        <v>311</v>
      </c>
      <c r="C735" s="726"/>
      <c r="D735" s="726"/>
      <c r="E735" s="726"/>
      <c r="F735" s="726"/>
      <c r="G735" s="727"/>
      <c r="H735" s="422" t="s">
        <v>46</v>
      </c>
      <c r="I735" s="764"/>
      <c r="J735" s="424">
        <v>0</v>
      </c>
      <c r="K735" s="501"/>
      <c r="L735" s="765"/>
      <c r="M735" s="501"/>
      <c r="N735" s="765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6">
        <v>9</v>
      </c>
      <c r="B736" s="767" t="s">
        <v>312</v>
      </c>
      <c r="C736" s="768"/>
      <c r="D736" s="768"/>
      <c r="E736" s="768"/>
      <c r="F736" s="768"/>
      <c r="G736" s="769"/>
      <c r="H736" s="770" t="s">
        <v>46</v>
      </c>
      <c r="I736" s="771"/>
      <c r="J736" s="771">
        <f>J751</f>
        <v>0</v>
      </c>
      <c r="K736" s="772">
        <f>IF(I736&gt;0,J736*100/I736,0)</f>
        <v>0</v>
      </c>
      <c r="L736" s="773"/>
      <c r="M736" s="773"/>
      <c r="N736" s="773"/>
      <c r="O736" s="773"/>
      <c r="P736" s="773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1"/>
      <c r="C737" s="751" t="s">
        <v>16</v>
      </c>
      <c r="D737" s="841" t="s">
        <v>17</v>
      </c>
      <c r="E737" s="834"/>
      <c r="F737" s="834"/>
      <c r="G737" s="597"/>
      <c r="H737" s="640" t="s">
        <v>12</v>
      </c>
      <c r="I737" s="611"/>
      <c r="J737" s="611"/>
      <c r="K737" s="93"/>
      <c r="L737" s="641">
        <f t="shared" ref="L737:N737" si="295">L738+L739</f>
        <v>0</v>
      </c>
      <c r="M737" s="641">
        <f t="shared" si="295"/>
        <v>0</v>
      </c>
      <c r="N737" s="641">
        <f t="shared" si="295"/>
        <v>0</v>
      </c>
      <c r="O737" s="641">
        <f t="shared" ref="O737:O742" si="296">IF(L737&gt;0,N737*100/L737,0)</f>
        <v>0</v>
      </c>
      <c r="P737" s="641">
        <f t="shared" ref="P737:P742" si="297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1"/>
      <c r="C738" s="751"/>
      <c r="D738" s="712"/>
      <c r="E738" s="751" t="s">
        <v>184</v>
      </c>
      <c r="F738" s="751"/>
      <c r="G738" s="597"/>
      <c r="H738" s="165" t="s">
        <v>12</v>
      </c>
      <c r="I738" s="611"/>
      <c r="J738" s="611"/>
      <c r="K738" s="93"/>
      <c r="L738" s="93">
        <f t="shared" ref="L738:N739" si="298">L741+L748</f>
        <v>0</v>
      </c>
      <c r="M738" s="93">
        <f t="shared" si="298"/>
        <v>0</v>
      </c>
      <c r="N738" s="93">
        <f t="shared" si="298"/>
        <v>0</v>
      </c>
      <c r="O738" s="93">
        <f t="shared" si="296"/>
        <v>0</v>
      </c>
      <c r="P738" s="93">
        <f t="shared" si="297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1"/>
      <c r="D739" s="712"/>
      <c r="E739" s="751" t="s">
        <v>185</v>
      </c>
      <c r="F739" s="751"/>
      <c r="G739" s="597"/>
      <c r="H739" s="165" t="s">
        <v>12</v>
      </c>
      <c r="I739" s="611"/>
      <c r="J739" s="611"/>
      <c r="K739" s="93"/>
      <c r="L739" s="93">
        <f t="shared" si="298"/>
        <v>0</v>
      </c>
      <c r="M739" s="93">
        <f t="shared" si="298"/>
        <v>0</v>
      </c>
      <c r="N739" s="93">
        <f t="shared" si="298"/>
        <v>0</v>
      </c>
      <c r="O739" s="93">
        <f t="shared" si="296"/>
        <v>0</v>
      </c>
      <c r="P739" s="93">
        <f t="shared" si="297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1"/>
      <c r="D740" s="639" t="s">
        <v>20</v>
      </c>
      <c r="E740" s="751"/>
      <c r="F740" s="751"/>
      <c r="G740" s="597"/>
      <c r="H740" s="640" t="s">
        <v>12</v>
      </c>
      <c r="I740" s="166"/>
      <c r="J740" s="166"/>
      <c r="K740" s="167"/>
      <c r="L740" s="641">
        <f t="shared" ref="L740:N740" si="299">L741+L742</f>
        <v>0</v>
      </c>
      <c r="M740" s="641">
        <f t="shared" si="299"/>
        <v>0</v>
      </c>
      <c r="N740" s="641">
        <f t="shared" si="299"/>
        <v>0</v>
      </c>
      <c r="O740" s="641">
        <f t="shared" si="296"/>
        <v>0</v>
      </c>
      <c r="P740" s="641">
        <f t="shared" si="297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1"/>
      <c r="D741" s="712"/>
      <c r="E741" s="751" t="s">
        <v>184</v>
      </c>
      <c r="F741" s="751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6"/>
        <v>0</v>
      </c>
      <c r="P741" s="93">
        <f t="shared" si="297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1"/>
      <c r="D742" s="712"/>
      <c r="E742" s="751" t="s">
        <v>185</v>
      </c>
      <c r="F742" s="751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6"/>
        <v>0</v>
      </c>
      <c r="P742" s="93">
        <f t="shared" si="297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1"/>
      <c r="D743" s="751"/>
      <c r="E743" s="751"/>
      <c r="F743" s="751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1"/>
      <c r="D744" s="751"/>
      <c r="E744" s="751"/>
      <c r="F744" s="751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1"/>
      <c r="D745" s="751"/>
      <c r="E745" s="751"/>
      <c r="F745" s="751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1"/>
      <c r="D746" s="751"/>
      <c r="E746" s="751"/>
      <c r="F746" s="751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1"/>
      <c r="D747" s="639" t="s">
        <v>21</v>
      </c>
      <c r="E747" s="751"/>
      <c r="F747" s="751"/>
      <c r="G747" s="597"/>
      <c r="H747" s="775" t="s">
        <v>12</v>
      </c>
      <c r="I747" s="166"/>
      <c r="J747" s="166"/>
      <c r="K747" s="167"/>
      <c r="L747" s="641">
        <f t="shared" ref="L747:N747" si="300">L748+L749</f>
        <v>0</v>
      </c>
      <c r="M747" s="641">
        <f t="shared" si="300"/>
        <v>0</v>
      </c>
      <c r="N747" s="641">
        <f t="shared" si="300"/>
        <v>0</v>
      </c>
      <c r="O747" s="641">
        <f t="shared" ref="O747:O749" si="301">IF(L747&gt;0,N747*100/L747,0)</f>
        <v>0</v>
      </c>
      <c r="P747" s="641">
        <f t="shared" ref="P747:P749" si="302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1"/>
      <c r="D748" s="751"/>
      <c r="E748" s="751" t="s">
        <v>18</v>
      </c>
      <c r="F748" s="751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1"/>
        <v>0</v>
      </c>
      <c r="P748" s="93">
        <f t="shared" si="302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1"/>
      <c r="D749" s="751"/>
      <c r="E749" s="751" t="s">
        <v>19</v>
      </c>
      <c r="F749" s="751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1"/>
        <v>0</v>
      </c>
      <c r="P749" s="93">
        <f t="shared" si="302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1" t="s">
        <v>16</v>
      </c>
      <c r="D750" s="867" t="s">
        <v>38</v>
      </c>
      <c r="E750" s="645"/>
      <c r="F750" s="645"/>
      <c r="G750" s="646"/>
      <c r="H750" s="365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1"/>
      <c r="D751" s="751"/>
      <c r="E751" s="751" t="s">
        <v>313</v>
      </c>
      <c r="F751" s="751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1"/>
      <c r="D752" s="751"/>
      <c r="E752" s="751"/>
      <c r="F752" s="751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7">
        <v>10</v>
      </c>
      <c r="B753" s="778" t="s">
        <v>315</v>
      </c>
      <c r="C753" s="779"/>
      <c r="D753" s="779"/>
      <c r="E753" s="779"/>
      <c r="F753" s="779"/>
      <c r="G753" s="780"/>
      <c r="H753" s="781" t="s">
        <v>46</v>
      </c>
      <c r="I753" s="782"/>
      <c r="J753" s="782">
        <f>J768</f>
        <v>0</v>
      </c>
      <c r="K753" s="783">
        <f>IF(I753&gt;0,J753*100/I753,0)</f>
        <v>0</v>
      </c>
      <c r="L753" s="784"/>
      <c r="M753" s="784"/>
      <c r="N753" s="784"/>
      <c r="O753" s="784"/>
      <c r="P753" s="784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1"/>
      <c r="C754" s="751" t="s">
        <v>16</v>
      </c>
      <c r="D754" s="841" t="s">
        <v>17</v>
      </c>
      <c r="E754" s="834"/>
      <c r="F754" s="834"/>
      <c r="G754" s="597"/>
      <c r="H754" s="640" t="s">
        <v>12</v>
      </c>
      <c r="I754" s="611"/>
      <c r="J754" s="611"/>
      <c r="K754" s="93"/>
      <c r="L754" s="641">
        <f t="shared" ref="L754:N754" si="303">L755+L756</f>
        <v>0</v>
      </c>
      <c r="M754" s="641">
        <f t="shared" si="303"/>
        <v>0</v>
      </c>
      <c r="N754" s="641">
        <f t="shared" si="303"/>
        <v>0</v>
      </c>
      <c r="O754" s="641">
        <f t="shared" ref="O754:O759" si="304">IF(L754&gt;0,N754*100/L754,0)</f>
        <v>0</v>
      </c>
      <c r="P754" s="641">
        <f t="shared" ref="P754:P759" si="305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1"/>
      <c r="C755" s="751"/>
      <c r="D755" s="712"/>
      <c r="E755" s="751" t="s">
        <v>184</v>
      </c>
      <c r="F755" s="751"/>
      <c r="G755" s="597"/>
      <c r="H755" s="165" t="s">
        <v>12</v>
      </c>
      <c r="I755" s="611"/>
      <c r="J755" s="611"/>
      <c r="K755" s="93"/>
      <c r="L755" s="93">
        <f t="shared" ref="L755:N756" si="306">L758+L765</f>
        <v>0</v>
      </c>
      <c r="M755" s="93">
        <f t="shared" si="306"/>
        <v>0</v>
      </c>
      <c r="N755" s="93">
        <f t="shared" si="306"/>
        <v>0</v>
      </c>
      <c r="O755" s="93">
        <f t="shared" si="304"/>
        <v>0</v>
      </c>
      <c r="P755" s="93">
        <f t="shared" si="305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1"/>
      <c r="D756" s="712"/>
      <c r="E756" s="751" t="s">
        <v>185</v>
      </c>
      <c r="F756" s="751"/>
      <c r="G756" s="597"/>
      <c r="H756" s="165" t="s">
        <v>12</v>
      </c>
      <c r="I756" s="611"/>
      <c r="J756" s="611"/>
      <c r="K756" s="93"/>
      <c r="L756" s="93">
        <f t="shared" si="306"/>
        <v>0</v>
      </c>
      <c r="M756" s="93">
        <f t="shared" si="306"/>
        <v>0</v>
      </c>
      <c r="N756" s="93">
        <f t="shared" si="306"/>
        <v>0</v>
      </c>
      <c r="O756" s="93">
        <f t="shared" si="304"/>
        <v>0</v>
      </c>
      <c r="P756" s="93">
        <f t="shared" si="305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1"/>
      <c r="D757" s="639" t="s">
        <v>20</v>
      </c>
      <c r="E757" s="751"/>
      <c r="F757" s="751"/>
      <c r="G757" s="597"/>
      <c r="H757" s="640" t="s">
        <v>12</v>
      </c>
      <c r="I757" s="166"/>
      <c r="J757" s="166"/>
      <c r="K757" s="167"/>
      <c r="L757" s="641">
        <f t="shared" ref="L757:N757" si="307">L758+L759</f>
        <v>0</v>
      </c>
      <c r="M757" s="641">
        <f t="shared" si="307"/>
        <v>0</v>
      </c>
      <c r="N757" s="641">
        <f t="shared" si="307"/>
        <v>0</v>
      </c>
      <c r="O757" s="641">
        <f t="shared" si="304"/>
        <v>0</v>
      </c>
      <c r="P757" s="641">
        <f t="shared" si="305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1"/>
      <c r="D758" s="712"/>
      <c r="E758" s="751" t="s">
        <v>184</v>
      </c>
      <c r="F758" s="751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4"/>
        <v>0</v>
      </c>
      <c r="P758" s="93">
        <f t="shared" si="305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1"/>
      <c r="D759" s="712"/>
      <c r="E759" s="751" t="s">
        <v>185</v>
      </c>
      <c r="F759" s="751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4"/>
        <v>0</v>
      </c>
      <c r="P759" s="93">
        <f t="shared" si="305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1"/>
      <c r="D760" s="751"/>
      <c r="E760" s="751"/>
      <c r="F760" s="751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1"/>
      <c r="D761" s="751"/>
      <c r="E761" s="751"/>
      <c r="F761" s="751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1"/>
      <c r="D762" s="751"/>
      <c r="E762" s="751"/>
      <c r="F762" s="751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1"/>
      <c r="D763" s="751"/>
      <c r="E763" s="751"/>
      <c r="F763" s="751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1"/>
      <c r="D764" s="639" t="s">
        <v>21</v>
      </c>
      <c r="E764" s="751"/>
      <c r="F764" s="751"/>
      <c r="G764" s="597"/>
      <c r="H764" s="775" t="s">
        <v>12</v>
      </c>
      <c r="I764" s="166"/>
      <c r="J764" s="166"/>
      <c r="K764" s="167"/>
      <c r="L764" s="641">
        <f t="shared" ref="L764:N764" si="308">L765+L766</f>
        <v>0</v>
      </c>
      <c r="M764" s="641">
        <f t="shared" si="308"/>
        <v>0</v>
      </c>
      <c r="N764" s="641">
        <f t="shared" si="308"/>
        <v>0</v>
      </c>
      <c r="O764" s="641">
        <f t="shared" ref="O764:O766" si="309">IF(L764&gt;0,N764*100/L764,0)</f>
        <v>0</v>
      </c>
      <c r="P764" s="641">
        <f t="shared" ref="P764:P766" si="310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1"/>
      <c r="D765" s="751"/>
      <c r="E765" s="751" t="s">
        <v>18</v>
      </c>
      <c r="F765" s="751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9"/>
        <v>0</v>
      </c>
      <c r="P765" s="93">
        <f t="shared" si="310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1"/>
      <c r="D766" s="751"/>
      <c r="E766" s="751" t="s">
        <v>19</v>
      </c>
      <c r="F766" s="751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9"/>
        <v>0</v>
      </c>
      <c r="P766" s="93">
        <f t="shared" si="310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1" t="s">
        <v>16</v>
      </c>
      <c r="D767" s="867" t="s">
        <v>38</v>
      </c>
      <c r="E767" s="645"/>
      <c r="F767" s="645"/>
      <c r="G767" s="646"/>
      <c r="H767" s="365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1"/>
      <c r="D768" s="751"/>
      <c r="E768" s="751" t="s">
        <v>316</v>
      </c>
      <c r="F768" s="751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5">
        <v>11</v>
      </c>
      <c r="B769" s="786" t="s">
        <v>317</v>
      </c>
      <c r="C769" s="787"/>
      <c r="D769" s="787"/>
      <c r="E769" s="787"/>
      <c r="F769" s="787"/>
      <c r="G769" s="788"/>
      <c r="H769" s="789" t="s">
        <v>46</v>
      </c>
      <c r="I769" s="790"/>
      <c r="J769" s="790">
        <f>J784</f>
        <v>0</v>
      </c>
      <c r="K769" s="791">
        <f>IF(I769&gt;0,J769*100/I769,0)</f>
        <v>0</v>
      </c>
      <c r="L769" s="792"/>
      <c r="M769" s="792"/>
      <c r="N769" s="792"/>
      <c r="O769" s="792"/>
      <c r="P769" s="792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1"/>
      <c r="C770" s="751" t="s">
        <v>16</v>
      </c>
      <c r="D770" s="841" t="s">
        <v>17</v>
      </c>
      <c r="E770" s="834"/>
      <c r="F770" s="834"/>
      <c r="G770" s="597"/>
      <c r="H770" s="640" t="s">
        <v>12</v>
      </c>
      <c r="I770" s="611"/>
      <c r="J770" s="611"/>
      <c r="K770" s="93"/>
      <c r="L770" s="641">
        <f t="shared" ref="L770:N770" si="311">L771+L772</f>
        <v>0</v>
      </c>
      <c r="M770" s="641">
        <f t="shared" si="311"/>
        <v>0</v>
      </c>
      <c r="N770" s="641">
        <f t="shared" si="311"/>
        <v>0</v>
      </c>
      <c r="O770" s="641">
        <f t="shared" ref="O770:O775" si="312">IF(L770&gt;0,N770*100/L770,0)</f>
        <v>0</v>
      </c>
      <c r="P770" s="641">
        <f t="shared" ref="P770:P775" si="313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1"/>
      <c r="C771" s="751"/>
      <c r="D771" s="712"/>
      <c r="E771" s="751" t="s">
        <v>184</v>
      </c>
      <c r="F771" s="751"/>
      <c r="G771" s="597"/>
      <c r="H771" s="165" t="s">
        <v>12</v>
      </c>
      <c r="I771" s="611"/>
      <c r="J771" s="611"/>
      <c r="K771" s="93"/>
      <c r="L771" s="93">
        <f t="shared" ref="L771:N772" si="314">L774+L781</f>
        <v>0</v>
      </c>
      <c r="M771" s="93">
        <f t="shared" si="314"/>
        <v>0</v>
      </c>
      <c r="N771" s="93">
        <f t="shared" si="314"/>
        <v>0</v>
      </c>
      <c r="O771" s="93">
        <f t="shared" si="312"/>
        <v>0</v>
      </c>
      <c r="P771" s="93">
        <f t="shared" si="313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1"/>
      <c r="D772" s="712"/>
      <c r="E772" s="751" t="s">
        <v>185</v>
      </c>
      <c r="F772" s="751"/>
      <c r="G772" s="597"/>
      <c r="H772" s="165" t="s">
        <v>12</v>
      </c>
      <c r="I772" s="611"/>
      <c r="J772" s="611"/>
      <c r="K772" s="93"/>
      <c r="L772" s="93">
        <f t="shared" si="314"/>
        <v>0</v>
      </c>
      <c r="M772" s="93">
        <f t="shared" si="314"/>
        <v>0</v>
      </c>
      <c r="N772" s="93">
        <f t="shared" si="314"/>
        <v>0</v>
      </c>
      <c r="O772" s="93">
        <f t="shared" si="312"/>
        <v>0</v>
      </c>
      <c r="P772" s="93">
        <f t="shared" si="313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1"/>
      <c r="D773" s="639" t="s">
        <v>20</v>
      </c>
      <c r="E773" s="751"/>
      <c r="F773" s="751"/>
      <c r="G773" s="597"/>
      <c r="H773" s="640" t="s">
        <v>12</v>
      </c>
      <c r="I773" s="166"/>
      <c r="J773" s="166"/>
      <c r="K773" s="167"/>
      <c r="L773" s="641">
        <f t="shared" ref="L773:N773" si="315">L774+L775</f>
        <v>0</v>
      </c>
      <c r="M773" s="641">
        <f t="shared" si="315"/>
        <v>0</v>
      </c>
      <c r="N773" s="641">
        <f t="shared" si="315"/>
        <v>0</v>
      </c>
      <c r="O773" s="641">
        <f t="shared" si="312"/>
        <v>0</v>
      </c>
      <c r="P773" s="641">
        <f t="shared" si="313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1"/>
      <c r="D774" s="712"/>
      <c r="E774" s="751" t="s">
        <v>184</v>
      </c>
      <c r="F774" s="751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2"/>
        <v>0</v>
      </c>
      <c r="P774" s="93">
        <f t="shared" si="313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1"/>
      <c r="D775" s="712"/>
      <c r="E775" s="751" t="s">
        <v>185</v>
      </c>
      <c r="F775" s="751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2"/>
        <v>0</v>
      </c>
      <c r="P775" s="93">
        <f t="shared" si="313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1"/>
      <c r="D776" s="751"/>
      <c r="E776" s="751"/>
      <c r="F776" s="751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1"/>
      <c r="D777" s="751"/>
      <c r="E777" s="751"/>
      <c r="F777" s="751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1"/>
      <c r="D778" s="751"/>
      <c r="E778" s="751"/>
      <c r="F778" s="751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1"/>
      <c r="D779" s="751"/>
      <c r="E779" s="751"/>
      <c r="F779" s="751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1"/>
      <c r="D780" s="639" t="s">
        <v>21</v>
      </c>
      <c r="E780" s="751"/>
      <c r="F780" s="751"/>
      <c r="G780" s="597"/>
      <c r="H780" s="775" t="s">
        <v>12</v>
      </c>
      <c r="I780" s="166"/>
      <c r="J780" s="166"/>
      <c r="K780" s="167"/>
      <c r="L780" s="641">
        <f t="shared" ref="L780:N780" si="316">L781+L782</f>
        <v>0</v>
      </c>
      <c r="M780" s="641">
        <f t="shared" si="316"/>
        <v>0</v>
      </c>
      <c r="N780" s="641">
        <f t="shared" si="316"/>
        <v>0</v>
      </c>
      <c r="O780" s="641">
        <f t="shared" ref="O780:O782" si="317">IF(L780&gt;0,N780*100/L780,0)</f>
        <v>0</v>
      </c>
      <c r="P780" s="641">
        <f t="shared" ref="P780:P782" si="318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1"/>
      <c r="D781" s="751"/>
      <c r="E781" s="751" t="s">
        <v>18</v>
      </c>
      <c r="F781" s="751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7"/>
        <v>0</v>
      </c>
      <c r="P781" s="93">
        <f t="shared" si="318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1"/>
      <c r="D782" s="751"/>
      <c r="E782" s="751" t="s">
        <v>19</v>
      </c>
      <c r="F782" s="751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7"/>
        <v>0</v>
      </c>
      <c r="P782" s="93">
        <f t="shared" si="318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1" t="s">
        <v>16</v>
      </c>
      <c r="D783" s="867" t="s">
        <v>38</v>
      </c>
      <c r="E783" s="645"/>
      <c r="F783" s="645"/>
      <c r="G783" s="646"/>
      <c r="H783" s="793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1"/>
      <c r="D784" s="751"/>
      <c r="E784" s="751" t="s">
        <v>318</v>
      </c>
      <c r="F784" s="751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4">
        <v>12</v>
      </c>
      <c r="B785" s="795" t="s">
        <v>319</v>
      </c>
      <c r="C785" s="796"/>
      <c r="D785" s="796"/>
      <c r="E785" s="796"/>
      <c r="F785" s="796"/>
      <c r="G785" s="797"/>
      <c r="H785" s="798" t="s">
        <v>46</v>
      </c>
      <c r="I785" s="799">
        <f t="shared" ref="I785:J785" ca="1" si="319">I800</f>
        <v>0</v>
      </c>
      <c r="J785" s="800">
        <f t="shared" ca="1" si="319"/>
        <v>0</v>
      </c>
      <c r="K785" s="801">
        <f ca="1">IF(I785&gt;0,J785*100/I785,0)</f>
        <v>0</v>
      </c>
      <c r="L785" s="802"/>
      <c r="M785" s="802"/>
      <c r="N785" s="802"/>
      <c r="O785" s="802"/>
      <c r="P785" s="802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5" t="s">
        <v>16</v>
      </c>
      <c r="D786" s="840" t="s">
        <v>17</v>
      </c>
      <c r="E786" s="834"/>
      <c r="F786" s="834"/>
      <c r="G786" s="189"/>
      <c r="H786" s="592" t="s">
        <v>12</v>
      </c>
      <c r="I786" s="269"/>
      <c r="J786" s="269"/>
      <c r="K786" s="497"/>
      <c r="L786" s="195">
        <f t="shared" ref="L786:N786" ca="1" si="320">L787+L788</f>
        <v>0</v>
      </c>
      <c r="M786" s="195">
        <f t="shared" si="320"/>
        <v>0</v>
      </c>
      <c r="N786" s="195">
        <f t="shared" si="320"/>
        <v>0</v>
      </c>
      <c r="O786" s="195">
        <f t="shared" ref="O786:O791" ca="1" si="321">IF(L786&gt;0,N786*100/L786,0)</f>
        <v>0</v>
      </c>
      <c r="P786" s="195">
        <f t="shared" ref="P786:P791" si="322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1"/>
      <c r="D787" s="712"/>
      <c r="E787" s="751" t="s">
        <v>184</v>
      </c>
      <c r="F787" s="751"/>
      <c r="G787" s="597"/>
      <c r="H787" s="165" t="s">
        <v>12</v>
      </c>
      <c r="I787" s="611"/>
      <c r="J787" s="611"/>
      <c r="K787" s="93"/>
      <c r="L787" s="93">
        <f t="shared" ref="L787:N788" si="323">L790+L797</f>
        <v>0</v>
      </c>
      <c r="M787" s="93">
        <f t="shared" si="323"/>
        <v>0</v>
      </c>
      <c r="N787" s="93">
        <f t="shared" si="323"/>
        <v>0</v>
      </c>
      <c r="O787" s="93">
        <f t="shared" si="321"/>
        <v>0</v>
      </c>
      <c r="P787" s="93">
        <f t="shared" si="322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1" t="s">
        <v>185</v>
      </c>
      <c r="F788" s="751"/>
      <c r="G788" s="597"/>
      <c r="H788" s="165" t="s">
        <v>12</v>
      </c>
      <c r="I788" s="611"/>
      <c r="J788" s="611"/>
      <c r="K788" s="93"/>
      <c r="L788" s="93">
        <f t="shared" ca="1" si="323"/>
        <v>0</v>
      </c>
      <c r="M788" s="93">
        <f t="shared" si="323"/>
        <v>0</v>
      </c>
      <c r="N788" s="93">
        <f t="shared" si="323"/>
        <v>0</v>
      </c>
      <c r="O788" s="93">
        <f t="shared" ca="1" si="321"/>
        <v>0</v>
      </c>
      <c r="P788" s="93">
        <f t="shared" si="322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5"/>
      <c r="F789" s="755"/>
      <c r="G789" s="189"/>
      <c r="H789" s="161" t="s">
        <v>12</v>
      </c>
      <c r="I789" s="184"/>
      <c r="J789" s="184"/>
      <c r="K789" s="163"/>
      <c r="L789" s="497">
        <f t="shared" ref="L789:N789" ca="1" si="324">L790+L791</f>
        <v>0</v>
      </c>
      <c r="M789" s="497">
        <f t="shared" si="324"/>
        <v>0</v>
      </c>
      <c r="N789" s="497">
        <f t="shared" si="324"/>
        <v>0</v>
      </c>
      <c r="O789" s="497">
        <f t="shared" ca="1" si="321"/>
        <v>0</v>
      </c>
      <c r="P789" s="497">
        <f t="shared" si="322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1" t="s">
        <v>184</v>
      </c>
      <c r="F790" s="751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1"/>
        <v>0</v>
      </c>
      <c r="P790" s="93">
        <f t="shared" si="322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1" t="s">
        <v>185</v>
      </c>
      <c r="F791" s="751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1"/>
        <v>0</v>
      </c>
      <c r="P791" s="93">
        <f t="shared" si="322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5"/>
      <c r="D792" s="755"/>
      <c r="E792" s="755"/>
      <c r="F792" s="755" t="s">
        <v>186</v>
      </c>
      <c r="G792" s="189"/>
      <c r="H792" s="161" t="s">
        <v>12</v>
      </c>
      <c r="I792" s="269"/>
      <c r="J792" s="269"/>
      <c r="K792" s="497"/>
      <c r="L792" s="497"/>
      <c r="M792" s="497"/>
      <c r="N792" s="818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5"/>
      <c r="D793" s="755"/>
      <c r="E793" s="755"/>
      <c r="F793" s="755" t="s">
        <v>187</v>
      </c>
      <c r="G793" s="189"/>
      <c r="H793" s="161" t="s">
        <v>12</v>
      </c>
      <c r="I793" s="269"/>
      <c r="J793" s="269"/>
      <c r="K793" s="497"/>
      <c r="L793" s="497"/>
      <c r="M793" s="497"/>
      <c r="N793" s="818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5"/>
      <c r="D794" s="755"/>
      <c r="E794" s="755"/>
      <c r="F794" s="755" t="s">
        <v>188</v>
      </c>
      <c r="G794" s="189"/>
      <c r="H794" s="161" t="s">
        <v>12</v>
      </c>
      <c r="I794" s="269"/>
      <c r="J794" s="269"/>
      <c r="K794" s="497"/>
      <c r="L794" s="497"/>
      <c r="M794" s="497"/>
      <c r="N794" s="818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5"/>
      <c r="D795" s="755"/>
      <c r="E795" s="755"/>
      <c r="F795" s="755" t="s">
        <v>189</v>
      </c>
      <c r="G795" s="189"/>
      <c r="H795" s="161" t="s">
        <v>12</v>
      </c>
      <c r="I795" s="269"/>
      <c r="J795" s="269"/>
      <c r="K795" s="497"/>
      <c r="L795" s="497"/>
      <c r="M795" s="497"/>
      <c r="N795" s="818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5"/>
      <c r="D796" s="600" t="s">
        <v>21</v>
      </c>
      <c r="E796" s="755"/>
      <c r="F796" s="755"/>
      <c r="G796" s="189"/>
      <c r="H796" s="168" t="s">
        <v>12</v>
      </c>
      <c r="I796" s="184"/>
      <c r="J796" s="184"/>
      <c r="K796" s="163"/>
      <c r="L796" s="497">
        <f t="shared" ref="L796:N796" si="325">L797+L798</f>
        <v>0</v>
      </c>
      <c r="M796" s="497">
        <f t="shared" si="325"/>
        <v>0</v>
      </c>
      <c r="N796" s="497">
        <f t="shared" si="325"/>
        <v>0</v>
      </c>
      <c r="O796" s="497">
        <f t="shared" ref="O796:O798" si="326">IF(L796&gt;0,N796*100/L796,0)</f>
        <v>0</v>
      </c>
      <c r="P796" s="497">
        <f t="shared" ref="P796:P798" si="327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1"/>
      <c r="D797" s="751"/>
      <c r="E797" s="751" t="s">
        <v>18</v>
      </c>
      <c r="F797" s="751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6"/>
        <v>0</v>
      </c>
      <c r="P797" s="93">
        <f t="shared" si="327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1"/>
      <c r="D798" s="751"/>
      <c r="E798" s="751" t="s">
        <v>19</v>
      </c>
      <c r="F798" s="751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6"/>
        <v>0</v>
      </c>
      <c r="P798" s="93">
        <f t="shared" si="327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5" t="s">
        <v>16</v>
      </c>
      <c r="D799" s="866" t="s">
        <v>38</v>
      </c>
      <c r="E799" s="753"/>
      <c r="F799" s="753"/>
      <c r="G799" s="607"/>
      <c r="H799" s="803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4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4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IFERROR(__xludf.DUMMYFUNCTION("IMPORTRANGE(""https://docs.google.com/spreadsheets/d/1MaWodYyGHDf7siQLGxnXhG4mBNTNIuy296niS2xXulU/edit?usp=sharing"",""RTK!I82"")"),0)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2"/>
      <c r="F802" s="712" t="s">
        <v>321</v>
      </c>
      <c r="G802" s="365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2"/>
      <c r="F803" s="712"/>
      <c r="G803" s="365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5">
        <v>13</v>
      </c>
      <c r="B804" s="786" t="s">
        <v>322</v>
      </c>
      <c r="C804" s="787"/>
      <c r="D804" s="804"/>
      <c r="E804" s="787"/>
      <c r="F804" s="787"/>
      <c r="G804" s="788"/>
      <c r="H804" s="789" t="s">
        <v>46</v>
      </c>
      <c r="I804" s="790"/>
      <c r="J804" s="790">
        <f>J819</f>
        <v>0</v>
      </c>
      <c r="K804" s="791">
        <f>IF(I804&gt;0,J804*100/I804,0)</f>
        <v>0</v>
      </c>
      <c r="L804" s="792"/>
      <c r="M804" s="792"/>
      <c r="N804" s="792"/>
      <c r="O804" s="792"/>
      <c r="P804" s="792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1"/>
      <c r="C805" s="751" t="s">
        <v>16</v>
      </c>
      <c r="D805" s="841" t="s">
        <v>17</v>
      </c>
      <c r="E805" s="834"/>
      <c r="F805" s="834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1"/>
      <c r="C806" s="751"/>
      <c r="D806" s="610"/>
      <c r="E806" s="751" t="s">
        <v>184</v>
      </c>
      <c r="F806" s="751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1"/>
      <c r="C807" s="751"/>
      <c r="D807" s="610"/>
      <c r="E807" s="751" t="s">
        <v>185</v>
      </c>
      <c r="F807" s="751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1"/>
      <c r="D808" s="868" t="s">
        <v>20</v>
      </c>
      <c r="E808" s="834"/>
      <c r="F808" s="834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1"/>
      <c r="C809" s="751"/>
      <c r="D809" s="610"/>
      <c r="E809" s="751" t="s">
        <v>184</v>
      </c>
      <c r="F809" s="751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1"/>
      <c r="C810" s="751"/>
      <c r="D810" s="610"/>
      <c r="E810" s="751" t="s">
        <v>185</v>
      </c>
      <c r="F810" s="751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1"/>
      <c r="D811" s="601"/>
      <c r="E811" s="751"/>
      <c r="F811" s="751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1"/>
      <c r="D812" s="601"/>
      <c r="E812" s="751"/>
      <c r="F812" s="751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1"/>
      <c r="D813" s="601"/>
      <c r="E813" s="751"/>
      <c r="F813" s="751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1"/>
      <c r="D814" s="601"/>
      <c r="E814" s="751"/>
      <c r="F814" s="751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1"/>
      <c r="D815" s="868" t="s">
        <v>21</v>
      </c>
      <c r="E815" s="834"/>
      <c r="F815" s="834"/>
      <c r="G815" s="597"/>
      <c r="H815" s="775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1"/>
      <c r="D816" s="601"/>
      <c r="E816" s="751" t="s">
        <v>18</v>
      </c>
      <c r="F816" s="751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1"/>
      <c r="D817" s="601"/>
      <c r="E817" s="751" t="s">
        <v>19</v>
      </c>
      <c r="F817" s="751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1" t="s">
        <v>16</v>
      </c>
      <c r="D818" s="869" t="s">
        <v>38</v>
      </c>
      <c r="E818" s="645"/>
      <c r="F818" s="645"/>
      <c r="G818" s="646"/>
      <c r="H818" s="365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06"/>
      <c r="B819" s="807"/>
      <c r="C819" s="809"/>
      <c r="D819" s="807"/>
      <c r="E819" s="809" t="s">
        <v>323</v>
      </c>
      <c r="F819" s="809"/>
      <c r="G819" s="810"/>
      <c r="H819" s="811" t="s">
        <v>46</v>
      </c>
      <c r="I819" s="812"/>
      <c r="J819" s="812"/>
      <c r="K819" s="813"/>
      <c r="L819" s="813"/>
      <c r="M819" s="813"/>
      <c r="N819" s="813"/>
      <c r="O819" s="813"/>
      <c r="P819" s="813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14" t="s">
        <v>345</v>
      </c>
      <c r="B820" s="815"/>
      <c r="C820" s="815"/>
      <c r="D820" s="816"/>
      <c r="E820" s="815"/>
      <c r="F820" s="815"/>
      <c r="G820" s="817"/>
      <c r="H820" s="817"/>
      <c r="I820" s="214"/>
      <c r="J820" s="214"/>
      <c r="K820" s="818"/>
      <c r="L820" s="818"/>
      <c r="M820" s="818"/>
      <c r="N820" s="818"/>
      <c r="O820" s="818"/>
      <c r="P820" s="81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6"/>
      <c r="B821" s="755" t="s">
        <v>325</v>
      </c>
      <c r="C821" s="755"/>
      <c r="D821" s="569"/>
      <c r="E821" s="755"/>
      <c r="F821" s="755"/>
      <c r="G821" s="189"/>
      <c r="H821" s="617" t="s">
        <v>12</v>
      </c>
      <c r="I821" s="269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69">
        <f ca="1">IFERROR(__xludf.DUMMYFUNCTION("IMPORTRANGE(""https://docs.google.com/spreadsheets/d/19vJNZY_5yjcGF2XGBMNZRCAIB0Kwfpjp8YEOfu-bneM/edit?usp=sharing"",""งานกองทุน!F82"")"),0)</f>
        <v>0</v>
      </c>
      <c r="K821" s="497">
        <f t="shared" ref="K821:K828" ca="1" si="336">IF(I821&gt;0,J821*100/I821,0)</f>
        <v>0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6"/>
      <c r="B822" s="755"/>
      <c r="C822" s="755"/>
      <c r="D822" s="569"/>
      <c r="E822" s="755"/>
      <c r="F822" s="755"/>
      <c r="G822" s="189"/>
      <c r="H822" s="617" t="s">
        <v>35</v>
      </c>
      <c r="I822" s="269">
        <f ca="1">IFERROR(__xludf.DUMMYFUNCTION("IMPORTRANGE(""https://docs.google.com/spreadsheets/d/19vJNZY_5yjcGF2XGBMNZRCAIB0Kwfpjp8YEOfu-bneM/edit?usp=sharing"",""งานกองทุน!C82"")"),149)</f>
        <v>149</v>
      </c>
      <c r="J822" s="269">
        <f ca="1">IFERROR(__xludf.DUMMYFUNCTION("IMPORTRANGE(""https://docs.google.com/spreadsheets/d/19vJNZY_5yjcGF2XGBMNZRCAIB0Kwfpjp8YEOfu-bneM/edit?usp=sharing"",""งานกองทุน!E82"")"),0)</f>
        <v>0</v>
      </c>
      <c r="K822" s="497">
        <f t="shared" ca="1" si="336"/>
        <v>0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6"/>
      <c r="B823" s="755" t="s">
        <v>326</v>
      </c>
      <c r="C823" s="755"/>
      <c r="D823" s="569"/>
      <c r="E823" s="755"/>
      <c r="F823" s="755"/>
      <c r="G823" s="189"/>
      <c r="H823" s="617" t="s">
        <v>12</v>
      </c>
      <c r="I823" s="269">
        <f ca="1">IFERROR(__xludf.DUMMYFUNCTION("IMPORTRANGE(""https://docs.google.com/spreadsheets/d/19vJNZY_5yjcGF2XGBMNZRCAIB0Kwfpjp8YEOfu-bneM/edit?usp=sharing"",""งานกองทุน!I82"")"),794344.6)</f>
        <v>794344.6</v>
      </c>
      <c r="J823" s="269">
        <f ca="1">IFERROR(__xludf.DUMMYFUNCTION("IMPORTRANGE(""https://docs.google.com/spreadsheets/d/19vJNZY_5yjcGF2XGBMNZRCAIB0Kwfpjp8YEOfu-bneM/edit?usp=sharing"",""งานกองทุน!K82"")"),14929.54)</f>
        <v>14929.54</v>
      </c>
      <c r="K823" s="497">
        <f t="shared" ca="1" si="336"/>
        <v>1.8794790069700229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6"/>
      <c r="B824" s="755"/>
      <c r="C824" s="755"/>
      <c r="D824" s="569"/>
      <c r="E824" s="755"/>
      <c r="F824" s="755"/>
      <c r="G824" s="189"/>
      <c r="H824" s="617" t="s">
        <v>35</v>
      </c>
      <c r="I824" s="269">
        <f ca="1">IFERROR(__xludf.DUMMYFUNCTION("IMPORTRANGE(""https://docs.google.com/spreadsheets/d/19vJNZY_5yjcGF2XGBMNZRCAIB0Kwfpjp8YEOfu-bneM/edit?usp=sharing"",""งานกองทุน!H82"")"),55)</f>
        <v>55</v>
      </c>
      <c r="J824" s="269">
        <f ca="1">IFERROR(__xludf.DUMMYFUNCTION("IMPORTRANGE(""https://docs.google.com/spreadsheets/d/19vJNZY_5yjcGF2XGBMNZRCAIB0Kwfpjp8YEOfu-bneM/edit?usp=sharing"",""งานกองทุน!J82"")"),17)</f>
        <v>17</v>
      </c>
      <c r="K824" s="497">
        <f t="shared" ca="1" si="336"/>
        <v>30.90909090909091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6"/>
      <c r="B825" s="755" t="s">
        <v>327</v>
      </c>
      <c r="C825" s="755"/>
      <c r="D825" s="569"/>
      <c r="E825" s="755"/>
      <c r="F825" s="755"/>
      <c r="G825" s="189"/>
      <c r="H825" s="617" t="s">
        <v>12</v>
      </c>
      <c r="I825" s="269">
        <f ca="1">IFERROR(__xludf.DUMMYFUNCTION("IMPORTRANGE(""https://docs.google.com/spreadsheets/d/19vJNZY_5yjcGF2XGBMNZRCAIB0Kwfpjp8YEOfu-bneM/edit?usp=sharing"",""งานกองทุน!N82"")"),0)</f>
        <v>0</v>
      </c>
      <c r="J825" s="269">
        <f ca="1">IFERROR(__xludf.DUMMYFUNCTION("IMPORTRANGE(""https://docs.google.com/spreadsheets/d/19vJNZY_5yjcGF2XGBMNZRCAIB0Kwfpjp8YEOfu-bneM/edit?usp=sharing"",""งานกองทุน!P82"")"),0)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6"/>
      <c r="B826" s="755"/>
      <c r="C826" s="755"/>
      <c r="D826" s="569"/>
      <c r="E826" s="755"/>
      <c r="F826" s="755"/>
      <c r="G826" s="189"/>
      <c r="H826" s="617" t="s">
        <v>35</v>
      </c>
      <c r="I826" s="269">
        <f ca="1">IFERROR(__xludf.DUMMYFUNCTION("IMPORTRANGE(""https://docs.google.com/spreadsheets/d/19vJNZY_5yjcGF2XGBMNZRCAIB0Kwfpjp8YEOfu-bneM/edit?usp=sharing"",""งานกองทุน!M82"")"),0)</f>
        <v>0</v>
      </c>
      <c r="J826" s="269">
        <f ca="1">IFERROR(__xludf.DUMMYFUNCTION("IMPORTRANGE(""https://docs.google.com/spreadsheets/d/19vJNZY_5yjcGF2XGBMNZRCAIB0Kwfpjp8YEOfu-bneM/edit?usp=sharing"",""งานกองทุน!O82"")"),0)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6"/>
      <c r="B827" s="755" t="s">
        <v>328</v>
      </c>
      <c r="C827" s="755"/>
      <c r="D827" s="569"/>
      <c r="E827" s="755"/>
      <c r="F827" s="755"/>
      <c r="G827" s="189"/>
      <c r="H827" s="617" t="s">
        <v>12</v>
      </c>
      <c r="I827" s="269">
        <f ca="1">IFERROR(__xludf.DUMMYFUNCTION("IMPORTRANGE(""https://docs.google.com/spreadsheets/d/19vJNZY_5yjcGF2XGBMNZRCAIB0Kwfpjp8YEOfu-bneM/edit?usp=sharing"",""งานกองทุน!S82"")"),1375000)</f>
        <v>1375000</v>
      </c>
      <c r="J827" s="269">
        <f ca="1">IFERROR(__xludf.DUMMYFUNCTION("IMPORTRANGE(""https://docs.google.com/spreadsheets/d/19vJNZY_5yjcGF2XGBMNZRCAIB0Kwfpjp8YEOfu-bneM/edit?usp=sharing"",""งานกองทุน!U82"")"),0)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39"/>
      <c r="B828" s="741"/>
      <c r="C828" s="741"/>
      <c r="D828" s="740"/>
      <c r="E828" s="741"/>
      <c r="F828" s="741"/>
      <c r="G828" s="819"/>
      <c r="H828" s="820" t="s">
        <v>35</v>
      </c>
      <c r="I828" s="500">
        <f ca="1">IFERROR(__xludf.DUMMYFUNCTION("IMPORTRANGE(""https://docs.google.com/spreadsheets/d/19vJNZY_5yjcGF2XGBMNZRCAIB0Kwfpjp8YEOfu-bneM/edit?usp=sharing"",""งานกองทุน!R82"")"),46)</f>
        <v>46</v>
      </c>
      <c r="J828" s="500">
        <f ca="1">IFERROR(__xludf.DUMMYFUNCTION("IMPORTRANGE(""https://docs.google.com/spreadsheets/d/19vJNZY_5yjcGF2XGBMNZRCAIB0Kwfpjp8YEOfu-bneM/edit?usp=sharing"",""งานกองทุน!T82"")"),0)</f>
        <v>0</v>
      </c>
      <c r="K828" s="501">
        <f t="shared" ca="1" si="336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3622047244094491" right="0.23622047244094491" top="0.74803149606299213" bottom="0.74803149606299213" header="0" footer="0"/>
  <pageSetup paperSize="9" scale="43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ภูเก็ต!Print_Area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2023-01-09T06:21:30Z</dcterms:created>
  <dcterms:modified xsi:type="dcterms:W3CDTF">2023-01-09T06:42:18Z</dcterms:modified>
</cp:coreProperties>
</file>